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CONTROL\Downloads\Control Interno\Informes\Entidades Pequeñas\"/>
    </mc:Choice>
  </mc:AlternateContent>
  <xr:revisionPtr revIDLastSave="0" documentId="13_ncr:1_{026D6BC7-E17F-44AE-AD50-D74A0B85B58A}" xr6:coauthVersionLast="47" xr6:coauthVersionMax="47" xr10:uidLastSave="{00000000-0000-0000-0000-000000000000}"/>
  <bookViews>
    <workbookView xWindow="-120" yWindow="-120" windowWidth="29040" windowHeight="15840" activeTab="1" xr2:uid="{00000000-000D-0000-FFFF-FFFF00000000}"/>
  </bookViews>
  <sheets>
    <sheet name="Instructivo" sheetId="2" r:id="rId1"/>
    <sheet name="Estado SCI" sheetId="1" r:id="rId2"/>
    <sheet name="Análisis Resultados" sheetId="3" r:id="rId3"/>
    <sheet name="Conclusión" sheetId="5" r:id="rId4"/>
    <sheet name="Hoja1" sheetId="6" state="hidden" r:id="rId5"/>
  </sheets>
  <externalReferences>
    <externalReference r:id="rId6"/>
  </externalReferences>
  <definedNames>
    <definedName name="_xlnm._FilterDatabase" localSheetId="4" hidden="1">Hoja1!$A$1:$K$45</definedName>
  </definedNames>
  <calcPr calcId="181029"/>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<sst xmlns="http://schemas.openxmlformats.org/spreadsheetml/2006/main" count="514" uniqueCount="239">
  <si>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</si>
  <si>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</si>
  <si>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</si>
  <si>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</si>
  <si>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</si>
  <si>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</si>
  <si>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</si>
  <si>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</si>
  <si>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</si>
  <si>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</si>
  <si>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</si>
  <si>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</si>
  <si>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</si>
  <si>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</si>
  <si>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</si>
  <si>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</si>
  <si>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</si>
  <si>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</si>
  <si>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</si>
  <si>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</si>
  <si>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</si>
  <si>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</si>
  <si>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</si>
  <si>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</si>
  <si>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</si>
  <si>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</si>
  <si>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</si>
  <si>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</si>
  <si>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</si>
  <si>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</si>
  <si>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</si>
  <si>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</si>
  <si>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</si>
  <si>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</si>
  <si>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</si>
  <si>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</si>
  <si>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No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</si>
  <si>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</si>
  <si>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</si>
  <si>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</si>
  <si>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</si>
  <si>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</si>
  <si>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</si>
  <si>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</si>
  <si>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</si>
  <si>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</si>
  <si>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</si>
  <si>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</si>
  <si>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</si>
  <si>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</si>
  <si>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</si>
  <si>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</si>
  <si>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</si>
  <si>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</si>
  <si>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</si>
  <si>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</si>
  <si>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</si>
  <si>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</si>
  <si>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</si>
  <si>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</si>
  <si>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</si>
  <si>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</si>
  <si>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</si>
  <si>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</si>
  <si>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</si>
  <si>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</si>
  <si>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</si>
  <si>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</si>
  <si>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</si>
  <si>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</si>
  <si>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</si>
  <si>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</si>
  <si>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</si>
  <si>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</si>
  <si>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</si>
  <si>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</si>
  <si>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</si>
  <si>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</si>
  <si>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</si>
  <si>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</si>
  <si>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</si>
  <si>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</si>
  <si>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</si>
  <si>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</si>
  <si>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</si>
  <si>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</si>
  <si>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</si>
  <si>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</si>
  <si>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</si>
  <si>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</si>
  <si>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</si>
  <si>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</si>
  <si>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</si>
  <si>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</si>
  <si>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</si>
  <si>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</si>
  <si>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</si>
  <si>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</si>
  <si>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</si>
  <si>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</si>
  <si>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</si>
  <si>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</si>
  <si>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</si>
  <si>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</si>
  <si>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</si>
  <si>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</si>
  <si>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</si>
  <si>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</si>
  <si>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</si>
  <si>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</si>
  <si>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</si>
  <si>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</si>
  <si>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</si>
  <si>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</si>
  <si>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</si>
  <si>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</si>
  <si>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</si>
  <si>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</si>
  <si>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</si>
  <si>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</si>
  <si>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</si>
  <si>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</si>
  <si>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</si>
  <si>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</si>
  <si>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</si>
  <si>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</si>
  <si>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</si>
  <si>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</si>
  <si>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</si>
  <si>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</si>
  <si>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</si>
  <si>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</si>
  <si>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</si>
  <si>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</si>
  <si>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</si>
  <si>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</si>
  <si>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</si>
  <si>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</si>
  <si>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</si>
  <si>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</si>
  <si>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</si>
  <si>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</si>
  <si>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</si>
  <si>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</si>
  <si>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</si>
  <si>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</si>
  <si>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</si>
  <si>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</si>
  <si>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</si>
  <si>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</si>
  <si>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</si>
  <si>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</si>
  <si>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</si>
  <si>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</si>
  <si>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</si>
  <si>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</si>
  <si>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</si>
  <si>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</si>
  <si>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</si>
  <si>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</si>
  <si>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</si>
  <si>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</si>
  <si>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</si>
  <si>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</si>
  <si>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</si>
  <si>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</si>
  <si>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</si>
  <si>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</si>
  <si>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</si>
  <si>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</si>
  <si>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</si>
  <si>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</si>
  <si>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</si>
  <si>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</si>
  <si>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</si>
  <si>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</si>
  <si>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</si>
  <si>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</si>
  <si>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</si>
  <si>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</si>
  <si>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</si>
  <si>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</si>
  <si>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</si>
  <si>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</si>
  <si>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</si>
  <si>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</si>
  <si>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</si>
  <si>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</si>
  <si>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</si>
  <si>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</si>
  <si>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</si>
  <si>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 xml:space="preserve">Comité de gestion y desarrollo </t>
  </si>
  <si>
    <t xml:space="preserve">Codigo de etica </t>
  </si>
  <si>
    <t>La ESE Guapi cuenta con  su misiòn institucional, cuenta con metas y progamas proyectadas dentro del plan de desarrollo institucional, plan de adutoria y  llevadas al plan de acciòn, para ejecutarlas dentro de la vigencia 2026</t>
  </si>
  <si>
    <t xml:space="preserve">El organigrma esta en proceso de actualizacion </t>
  </si>
  <si>
    <t>No se cuenta con manuales de funciones actualizado</t>
  </si>
  <si>
    <t>Se esta en proceso de creación de procesos y procedimientos</t>
  </si>
  <si>
    <t>Se vinculan los servidores publicos de acuerdo al marco nomativo que aplique</t>
  </si>
  <si>
    <t>Solo hay Plan de Capacitaciones y se están realizando las capacitaciones, falta plan de inducción, y de bienestrar social.</t>
  </si>
  <si>
    <t xml:space="preserve">En la ESE Guapi no se ha imlementado la evalucion de desempeño </t>
  </si>
  <si>
    <t xml:space="preserve">Se realiza el proceso de desvinculacion de acuerdo  la normatividad </t>
  </si>
  <si>
    <t xml:space="preserve">En la vigencia 2026 no se ha realizado </t>
  </si>
  <si>
    <t>los informes del seundo trimestre se estan presentando</t>
  </si>
  <si>
    <t xml:space="preserve">se solicito pero a la fecha no se conoce el estudio de estos riesgos </t>
  </si>
  <si>
    <t xml:space="preserve">Se solicito el Mapa de Riesgo al area encargada y a la fecha no se coonoce </t>
  </si>
  <si>
    <t>la ESE GUAPI tiene identificados y evaluados los riesgos de corrupción, incluidos el plan anti  Corrupción, pero toca actulizarlo</t>
  </si>
  <si>
    <t>la infraestructura lo permite, pero no  se esta implementando</t>
  </si>
  <si>
    <t>No se cuenta con mapa de riesgos</t>
  </si>
  <si>
    <t>Se está elaborando el Proceso de Administración de Riesgos por Área</t>
  </si>
  <si>
    <t xml:space="preserve">SI </t>
  </si>
  <si>
    <t>Desde la oficina  de control interno se estan adoptando las medidas que conduzcan al mejoramiento de los procesos.</t>
  </si>
  <si>
    <t xml:space="preserve">El mapa de riesgo no esta actualizado </t>
  </si>
  <si>
    <t xml:space="preserve">Se desarrollar en la presente vigencia </t>
  </si>
  <si>
    <t xml:space="preserve">no se cuenta con el mapra de riesgos,la ESE GUAPI  cuenta con un plan anti corrupcion pero esta desactualizado </t>
  </si>
  <si>
    <t xml:space="preserve">No se esta desarrollando </t>
  </si>
  <si>
    <t xml:space="preserve">cada funcionario de la empresa es responsable de la informacion a su cargo </t>
  </si>
  <si>
    <t>Página web institucional, redes sociales, carteleras institucioanles, correos electronicos.</t>
  </si>
  <si>
    <t>se da el tratameinto adecuado a la informacion que debe ser reservada, Procedimiento de manejo de historias clínicas y datos de los pacientes</t>
  </si>
  <si>
    <t xml:space="preserve">se tiene identificada toda la informacion ( lista de infomres a presentar) </t>
  </si>
  <si>
    <t xml:space="preserve">La ESE GUAPI esta en proceso de construcion </t>
  </si>
  <si>
    <t>Se cuenta con tecnologias de información y comunciación conforme la naturaleza y tamaño de la entidad</t>
  </si>
  <si>
    <t xml:space="preserve">Se presento ante la genrente el plan Semestral de auditoria de Julio a Diciembre dentro de este va incluido </t>
  </si>
  <si>
    <t xml:space="preserve">se presento el plan semestral de auditoria y esta en proceso la creacion del comité institucional de control interno. </t>
  </si>
  <si>
    <t xml:space="preserve">No se presentaron planes de mejora de las auditorias realizadas por el jefe de control interno saliente. </t>
  </si>
  <si>
    <t xml:space="preserve">No se presentaron soportes por el jefe control interno saliente </t>
  </si>
  <si>
    <t xml:space="preserve">No se cumple con el mapa de riesgo, para el segundo semestre del año se va a elaborar </t>
  </si>
  <si>
    <t>algunos  procesos, aunque no estan documentados, si tienen identificados algunos puntos criticos, a los cuales se les formulan acciones para mitigar su propabilidad de ocurrencia</t>
  </si>
  <si>
    <t xml:space="preserve">No se cuenta con el mapa de riesgo, para el segundo semestre del año se va a elaborar </t>
  </si>
  <si>
    <t xml:space="preserve">No se cuenta con plan de mejora </t>
  </si>
  <si>
    <t>EMPRESA SOCIAL DEL ESTADO ESE GUAPI</t>
  </si>
  <si>
    <t>Primer semestre 2026 - Evaluado por Jhoasin Cueo Caicedo - Jefe de Control Interno</t>
  </si>
  <si>
    <t>En proceso, los cinco componentes del Modelo estandar de Control Interno (MECI) se encuentran en proceso de implementacion  teniendo encuenta que la ESE Guapi en el primer periodo no conto con la figura de control interno, a la fecha se esta articulando  el ambiente de control, la evalucación del riesgo, las actividades de control, la información y comunicación, y as actividades de monitoreo</t>
  </si>
  <si>
    <t>El Sistema de Control Interno se considera efectivo para el cumplimiento de los objetivos evaluados, en la medida en que proporciona una estructura sólida que facilita el mejoramiento continuo de los procesos, a través del seguimiento, monitoreo y evaluación periódica de cada uno de ellos.
Asimismo, permite la identificación oportuna de riesgos, la implementación de acciones de mejora y el fortalecimiento de los controles establecidos. Estas acciones contribuyen de manera significativa al cumplimiento de los objetivos institucionales, a la eficiencia operativa, al uso adecuado de los recursos y al fortalecimiento de la cultura de autocontrol dentro de la entidad.</t>
  </si>
  <si>
    <t>La entidad cuenta con una institucionalidad definida dentro de su Sistema de Control Interno, lo que facilita la toma de decisiones en materia de control, gestión y seguimiento de riesgos. La línea estratégica está representada por la alta dirección, encabezada por la Gerente de la ESE Guapi, quien orienta y supervisa la implementación de las políticas y directrices institucionales. La primera y segunda línea de defensa están conformadas por los líderes de los procesos administrativos y asistenciales, responsables de la gestión, ejecución, monitoreo y control de las actividades bajo su competencia, así como de la identificación y tratamiento de los riesgos asociados a sus procesos.
La tercera línea de defensa está a cargo de la Oficina de Control Interno, que desarrolla actividades independientes de evaluación y seguimiento del sistema, proporcionando aseguramiento sobre su funcionamiento y contribuyendo al fortalecimiento de la gestión institucional mediante la prevención, monitoreo y evaluación de riesgos</t>
  </si>
  <si>
    <r>
      <rPr>
        <b/>
        <sz val="12"/>
        <rFont val="Arial"/>
        <family val="2"/>
      </rPr>
      <t>DEBILIDAD</t>
    </r>
    <r>
      <rPr>
        <sz val="12"/>
        <rFont val="Arial"/>
        <family val="2"/>
      </rPr>
      <t xml:space="preserve">: El organigrama está desactualizado, el manual de funciones no se encuentra actualizado, la ESE no cuenta con los planes de inducción ni de bienestar social, y está pendiente por realizarse la rendición de cuentas.                                                                                                                                                         </t>
    </r>
    <r>
      <rPr>
        <b/>
        <sz val="12"/>
        <rFont val="Arial"/>
        <family val="2"/>
      </rPr>
      <t>FORTALEZA:</t>
    </r>
    <r>
      <rPr>
        <sz val="12"/>
        <rFont val="Arial"/>
        <family val="2"/>
      </rPr>
      <t xml:space="preserve"> Existe voluntad y liderazgo por parte de la representante legal para aplicar métodos de implementación del control interno y, desde allí, asegurar que la gestión institucional se desarrolle conforme a la naturaleza y misión institucional.</t>
    </r>
  </si>
  <si>
    <r>
      <rPr>
        <b/>
        <sz val="11"/>
        <color theme="1"/>
        <rFont val="Calibri"/>
        <family val="2"/>
        <scheme val="minor"/>
      </rPr>
      <t>DEBILIDAD</t>
    </r>
    <r>
      <rPr>
        <sz val="11"/>
        <color theme="1"/>
        <rFont val="Calibri"/>
        <family val="2"/>
        <scheme val="minor"/>
      </rPr>
      <t xml:space="preserve">: No se cuenta con un mapa de riesgos.                                                                                                                                                                                                                    </t>
    </r>
    <r>
      <rPr>
        <b/>
        <sz val="11"/>
        <color theme="1"/>
        <rFont val="Calibri"/>
        <family val="2"/>
        <scheme val="minor"/>
      </rPr>
      <t>FORTALEZA:</t>
    </r>
    <r>
      <rPr>
        <sz val="11"/>
        <color theme="1"/>
        <rFont val="Calibri"/>
        <family val="2"/>
        <scheme val="minor"/>
      </rPr>
      <t xml:space="preserve"> Se cuenta con un personal comprometido en la identificación de los riesgos y atento a cualquier amenaza que pueda impedir el buen funcionamiento de la empresa.</t>
    </r>
  </si>
  <si>
    <r>
      <rPr>
        <b/>
        <sz val="11"/>
        <color theme="1"/>
        <rFont val="Calibri"/>
        <family val="2"/>
        <scheme val="minor"/>
      </rPr>
      <t>DEBILIDAD</t>
    </r>
    <r>
      <rPr>
        <sz val="11"/>
        <color theme="1"/>
        <rFont val="Calibri"/>
        <family val="2"/>
        <scheme val="minor"/>
      </rPr>
      <t xml:space="preserve">: falta de asignación y de compromiso para la elaboración del mapa de riesgo </t>
    </r>
  </si>
  <si>
    <r>
      <rPr>
        <b/>
        <sz val="11"/>
        <color theme="1"/>
        <rFont val="Calibri"/>
        <family val="2"/>
        <scheme val="minor"/>
      </rPr>
      <t xml:space="preserve">DEBILIDAD: </t>
    </r>
    <r>
      <rPr>
        <sz val="11"/>
        <color theme="1"/>
        <rFont val="Calibri"/>
        <family val="2"/>
        <scheme val="minor"/>
      </rPr>
      <t xml:space="preserve">Se requiere que todas las áreas publiquen en la página web institucional la información requerida.                                                                                                                                                                                                                            </t>
    </r>
    <r>
      <rPr>
        <b/>
        <sz val="11"/>
        <color theme="1"/>
        <rFont val="Calibri"/>
        <family val="2"/>
        <scheme val="minor"/>
      </rPr>
      <t>FORTALEZA</t>
    </r>
    <r>
      <rPr>
        <sz val="11"/>
        <color theme="1"/>
        <rFont val="Calibri"/>
        <family val="2"/>
        <scheme val="minor"/>
      </rPr>
      <t>: se cuenta con página web, página de Facebook, cartelera institucional y realización de perifoneo para dar a conocer las noticias y eventos de interés de la empresa.</t>
    </r>
  </si>
  <si>
    <t>FORTALEZA: Se están elaborando todas las acciones pertinentes en pro de dar cumplimiento a lo establecido por la norma y cumplir con lo solicitado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</si>
</sst>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
      <b/>
      <sz val="11"/>
      <color theme="1"/>
      <name val="Calibri"/>
      <family val="2"/>
      <scheme val="minor"/>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4">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27">
    <xf numFmtId="0" fontId="0" fillId="0" borderId="0" xfId="0"/>
    <xf numFmtId="0" fontId="0" fillId="4" borderId="0" xfId="0" applyFill="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7" fillId="4" borderId="0" xfId="0" applyFont="1" applyFill="1" applyAlignment="1">
      <alignment horizontal="center"/>
    </xf>
    <xf numFmtId="0" fontId="0" fillId="4" borderId="21" xfId="0" applyFill="1" applyBorder="1"/>
    <xf numFmtId="164" fontId="7" fillId="4" borderId="0" xfId="0" applyNumberFormat="1" applyFont="1" applyFill="1" applyAlignment="1">
      <alignment horizontal="center"/>
    </xf>
    <xf numFmtId="0" fontId="8" fillId="4" borderId="0" xfId="0" applyFont="1" applyFill="1" applyAlignment="1">
      <alignment vertical="center"/>
    </xf>
    <xf numFmtId="0" fontId="10" fillId="4" borderId="0" xfId="0" applyFont="1" applyFill="1" applyAlignment="1">
      <alignment horizontal="center" vertical="center"/>
    </xf>
    <xf numFmtId="0" fontId="11" fillId="4" borderId="0" xfId="0" applyFont="1" applyFill="1"/>
    <xf numFmtId="0" fontId="9" fillId="4" borderId="0" xfId="0" applyFont="1" applyFill="1" applyAlignment="1">
      <alignment horizontal="center" vertical="center"/>
    </xf>
    <xf numFmtId="0" fontId="2" fillId="4" borderId="30" xfId="0" applyFont="1" applyFill="1" applyBorder="1" applyAlignment="1">
      <alignment horizontal="center" vertical="center"/>
    </xf>
    <xf numFmtId="0" fontId="2" fillId="4" borderId="0" xfId="0" applyFont="1" applyFill="1" applyAlignment="1">
      <alignment horizontal="center" vertical="center"/>
    </xf>
    <xf numFmtId="0" fontId="12" fillId="4" borderId="0" xfId="0" applyFont="1" applyFill="1" applyAlignment="1">
      <alignment wrapText="1"/>
    </xf>
    <xf numFmtId="0" fontId="13" fillId="4" borderId="0" xfId="0" applyFont="1" applyFill="1" applyAlignment="1">
      <alignment wrapText="1"/>
    </xf>
    <xf numFmtId="0" fontId="5" fillId="0" borderId="0" xfId="0" applyFont="1" applyAlignment="1">
      <alignment vertical="center"/>
    </xf>
    <xf numFmtId="9" fontId="2" fillId="0" borderId="0" xfId="0" applyNumberFormat="1" applyFont="1" applyAlignment="1">
      <alignment vertical="center"/>
    </xf>
    <xf numFmtId="0" fontId="2" fillId="4" borderId="21" xfId="0" applyFont="1" applyFill="1" applyBorder="1" applyAlignment="1">
      <alignment vertical="center"/>
    </xf>
    <xf numFmtId="0" fontId="2" fillId="4" borderId="0" xfId="0" applyFont="1" applyFill="1" applyAlignment="1">
      <alignment vertical="center"/>
    </xf>
    <xf numFmtId="0" fontId="0" fillId="0" borderId="3" xfId="0" applyBorder="1"/>
    <xf numFmtId="0" fontId="5" fillId="4" borderId="0" xfId="0" applyFont="1" applyFill="1" applyAlignment="1">
      <alignment vertical="center"/>
    </xf>
    <xf numFmtId="0" fontId="2" fillId="4" borderId="0" xfId="0" applyFont="1" applyFill="1" applyAlignment="1">
      <alignment horizontal="left" vertical="center"/>
    </xf>
    <xf numFmtId="0" fontId="15" fillId="4" borderId="0" xfId="0" applyFont="1" applyFill="1" applyAlignment="1">
      <alignment vertical="center"/>
    </xf>
    <xf numFmtId="0" fontId="16" fillId="4" borderId="0" xfId="0" applyFont="1" applyFill="1"/>
    <xf numFmtId="0" fontId="0" fillId="4" borderId="34" xfId="0" applyFill="1" applyBorder="1"/>
    <xf numFmtId="0" fontId="0" fillId="4" borderId="35" xfId="0" applyFill="1" applyBorder="1"/>
    <xf numFmtId="0" fontId="0" fillId="4" borderId="36" xfId="0" applyFill="1" applyBorder="1"/>
    <xf numFmtId="0" fontId="20" fillId="0" borderId="0" xfId="0" applyFont="1" applyAlignment="1">
      <alignment horizontal="center" wrapText="1"/>
    </xf>
    <xf numFmtId="0" fontId="5" fillId="4" borderId="0" xfId="0" applyFont="1" applyFill="1" applyAlignment="1">
      <alignment horizontal="center" vertical="center" wrapText="1"/>
    </xf>
    <xf numFmtId="0" fontId="4" fillId="4" borderId="0" xfId="0" applyFont="1" applyFill="1"/>
    <xf numFmtId="0" fontId="5" fillId="4" borderId="0" xfId="0" applyFont="1" applyFill="1" applyAlignment="1">
      <alignment horizontal="left" vertical="center"/>
    </xf>
    <xf numFmtId="9" fontId="5" fillId="4" borderId="0" xfId="0" applyNumberFormat="1" applyFont="1" applyFill="1" applyAlignment="1">
      <alignment horizontal="center" vertical="center"/>
    </xf>
    <xf numFmtId="0" fontId="4" fillId="4" borderId="0" xfId="0" applyFont="1" applyFill="1" applyAlignment="1">
      <alignment horizontal="left"/>
    </xf>
    <xf numFmtId="0" fontId="22" fillId="0" borderId="0" xfId="2" applyFont="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xf numFmtId="0" fontId="26" fillId="4" borderId="59" xfId="3" applyFont="1" applyFill="1" applyBorder="1" applyAlignment="1">
      <alignment vertical="top" wrapText="1"/>
    </xf>
    <xf numFmtId="0" fontId="26" fillId="4" borderId="0" xfId="3" applyFont="1" applyFill="1" applyAlignment="1">
      <alignment vertical="top" wrapText="1"/>
    </xf>
    <xf numFmtId="0" fontId="26" fillId="4" borderId="60" xfId="3" applyFont="1" applyFill="1" applyBorder="1" applyAlignment="1">
      <alignment vertical="top" wrapText="1"/>
    </xf>
    <xf numFmtId="0" fontId="26" fillId="4" borderId="59" xfId="3" applyFont="1" applyFill="1" applyBorder="1" applyAlignment="1">
      <alignment horizontal="left" vertical="top"/>
    </xf>
    <xf numFmtId="0" fontId="26" fillId="4" borderId="60" xfId="3" applyFont="1" applyFill="1" applyBorder="1" applyAlignment="1">
      <alignment horizontal="left" vertical="top"/>
    </xf>
    <xf numFmtId="0" fontId="26" fillId="4" borderId="59" xfId="3" applyFont="1" applyFill="1" applyBorder="1"/>
    <xf numFmtId="0" fontId="34" fillId="4" borderId="0" xfId="4" applyFont="1" applyFill="1" applyAlignment="1">
      <alignment horizontal="left" vertical="top" wrapText="1" readingOrder="1"/>
    </xf>
    <xf numFmtId="0" fontId="26" fillId="4" borderId="60" xfId="3" applyFont="1" applyFill="1" applyBorder="1"/>
    <xf numFmtId="0" fontId="26" fillId="4" borderId="72" xfId="3" applyFont="1" applyFill="1" applyBorder="1"/>
    <xf numFmtId="0" fontId="26" fillId="4" borderId="73" xfId="3" applyFont="1" applyFill="1" applyBorder="1"/>
    <xf numFmtId="0" fontId="26" fillId="4" borderId="74" xfId="3" applyFont="1" applyFill="1" applyBorder="1"/>
    <xf numFmtId="0" fontId="34" fillId="4" borderId="0" xfId="0" applyFont="1" applyFill="1" applyAlignment="1">
      <alignment horizontal="left" vertical="center" wrapText="1"/>
    </xf>
    <xf numFmtId="0" fontId="35" fillId="4" borderId="0" xfId="0" applyFont="1" applyFill="1" applyAlignment="1">
      <alignment horizontal="left" vertical="top" wrapText="1"/>
    </xf>
    <xf numFmtId="0" fontId="26" fillId="4" borderId="0" xfId="3" quotePrefix="1" applyFont="1" applyFill="1" applyAlignment="1">
      <alignment horizontal="left" vertical="center" wrapText="1"/>
    </xf>
    <xf numFmtId="0" fontId="32" fillId="4" borderId="0" xfId="3" applyFont="1" applyFill="1" applyAlignment="1">
      <alignment horizontal="left" vertical="center" wrapText="1"/>
    </xf>
    <xf numFmtId="0" fontId="26" fillId="4" borderId="0" xfId="3"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0" borderId="0" xfId="0" applyFont="1" applyAlignment="1">
      <alignment vertical="top"/>
    </xf>
    <xf numFmtId="0" fontId="8" fillId="0" borderId="0" xfId="0" applyFont="1"/>
    <xf numFmtId="0" fontId="44" fillId="9" borderId="11" xfId="0" applyFont="1" applyFill="1" applyBorder="1" applyAlignment="1">
      <alignment horizontal="center" vertical="top" wrapText="1"/>
    </xf>
    <xf numFmtId="49" fontId="45" fillId="5" borderId="7" xfId="0" applyNumberFormat="1" applyFont="1" applyFill="1" applyBorder="1" applyAlignment="1">
      <alignment horizontal="center" vertical="center" wrapText="1"/>
    </xf>
    <xf numFmtId="0" fontId="45" fillId="5" borderId="7" xfId="0"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horizontal="left" vertical="center" wrapText="1"/>
    </xf>
    <xf numFmtId="0" fontId="46" fillId="0" borderId="3" xfId="0" applyFont="1" applyBorder="1" applyAlignment="1">
      <alignment horizontal="center" vertical="center" wrapText="1"/>
    </xf>
    <xf numFmtId="0" fontId="47" fillId="0" borderId="3" xfId="0" applyFont="1" applyBorder="1" applyAlignment="1">
      <alignment horizontal="left" vertical="center" wrapText="1"/>
    </xf>
    <xf numFmtId="0" fontId="46" fillId="0" borderId="3" xfId="0" applyFont="1" applyBorder="1" applyAlignment="1">
      <alignment horizontal="left" vertical="center" wrapText="1"/>
    </xf>
    <xf numFmtId="0" fontId="46" fillId="0" borderId="4" xfId="0" applyFont="1" applyBorder="1" applyAlignment="1">
      <alignment horizontal="center" vertical="center" wrapText="1"/>
    </xf>
    <xf numFmtId="0" fontId="46" fillId="0" borderId="4" xfId="0" applyFont="1" applyBorder="1" applyAlignment="1">
      <alignment horizontal="left" vertical="center" wrapText="1"/>
    </xf>
    <xf numFmtId="0" fontId="9" fillId="13" borderId="3" xfId="0" applyFont="1" applyFill="1" applyBorder="1" applyAlignment="1">
      <alignment horizontal="center" vertical="center" wrapText="1"/>
    </xf>
    <xf numFmtId="0" fontId="50" fillId="0" borderId="0" xfId="0" applyFont="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Border="1" applyAlignment="1">
      <alignment horizontal="center" vertical="center"/>
    </xf>
    <xf numFmtId="0" fontId="53" fillId="0" borderId="0" xfId="0" applyFont="1" applyAlignment="1">
      <alignment horizontal="center"/>
    </xf>
    <xf numFmtId="0" fontId="52" fillId="12" borderId="31" xfId="0" applyFont="1" applyFill="1" applyBorder="1" applyAlignment="1">
      <alignment horizontal="center" vertical="center" wrapText="1"/>
    </xf>
    <xf numFmtId="0" fontId="42" fillId="0" borderId="0" xfId="0" applyFont="1" applyAlignment="1">
      <alignment horizontal="center" vertical="center" wrapText="1"/>
    </xf>
    <xf numFmtId="0" fontId="25" fillId="4" borderId="0" xfId="2" applyFont="1" applyFill="1" applyAlignment="1">
      <alignment vertical="center" wrapText="1"/>
    </xf>
    <xf numFmtId="0" fontId="35" fillId="4" borderId="0" xfId="2" applyFont="1" applyFill="1" applyAlignment="1">
      <alignment vertical="center" wrapText="1"/>
    </xf>
    <xf numFmtId="0" fontId="36" fillId="0" borderId="0" xfId="0" applyFont="1" applyAlignment="1" applyProtection="1">
      <alignment horizontal="center" vertical="top"/>
      <protection hidden="1"/>
    </xf>
    <xf numFmtId="0" fontId="38" fillId="0" borderId="79" xfId="0" applyFont="1" applyBorder="1" applyAlignment="1" applyProtection="1">
      <alignment horizontal="center" vertical="center" wrapText="1"/>
      <protection hidden="1"/>
    </xf>
    <xf numFmtId="0" fontId="8" fillId="0" borderId="0" xfId="0" applyFont="1" applyAlignment="1" applyProtection="1">
      <alignment horizontal="center" vertical="top"/>
      <protection hidden="1"/>
    </xf>
    <xf numFmtId="0" fontId="39" fillId="0" borderId="9" xfId="0" applyFont="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80" xfId="0" applyFont="1" applyBorder="1" applyAlignment="1" applyProtection="1">
      <alignment horizontal="center" vertical="center" wrapText="1"/>
      <protection hidden="1"/>
    </xf>
    <xf numFmtId="0" fontId="8" fillId="0" borderId="0" xfId="0" applyFont="1" applyAlignment="1" applyProtection="1">
      <alignment vertical="top"/>
      <protection hidden="1"/>
    </xf>
    <xf numFmtId="0" fontId="43" fillId="0" borderId="2" xfId="0" applyFont="1" applyBorder="1" applyAlignment="1" applyProtection="1">
      <alignment horizontal="center" vertical="center" wrapText="1"/>
      <protection locked="0"/>
    </xf>
    <xf numFmtId="0" fontId="36" fillId="0" borderId="79" xfId="0" applyFont="1" applyBorder="1" applyAlignment="1" applyProtection="1">
      <alignment horizontal="left" vertical="center" wrapText="1"/>
      <protection locked="0"/>
    </xf>
    <xf numFmtId="0" fontId="43" fillId="0" borderId="3"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43" fillId="0" borderId="4" xfId="0" applyFont="1" applyBorder="1" applyAlignment="1" applyProtection="1">
      <alignment horizontal="center" vertical="center" wrapText="1"/>
      <protection locked="0"/>
    </xf>
    <xf numFmtId="0" fontId="36" fillId="0" borderId="80" xfId="0" applyFont="1" applyBorder="1" applyAlignment="1" applyProtection="1">
      <alignment horizontal="left" vertical="center" wrapText="1"/>
      <protection locked="0"/>
    </xf>
    <xf numFmtId="0" fontId="19" fillId="2" borderId="82" xfId="2" applyFont="1" applyFill="1" applyBorder="1" applyAlignment="1">
      <alignment horizontal="center" vertical="center"/>
    </xf>
    <xf numFmtId="0" fontId="19" fillId="2" borderId="82" xfId="2" applyFont="1" applyFill="1" applyBorder="1" applyAlignment="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4" xfId="0" applyFont="1" applyBorder="1" applyAlignment="1" applyProtection="1">
      <alignment vertical="center" wrapText="1"/>
      <protection hidden="1"/>
    </xf>
    <xf numFmtId="0" fontId="1" fillId="0" borderId="3" xfId="0" applyFont="1" applyBorder="1" applyAlignment="1" applyProtection="1">
      <alignment horizontal="left" vertical="center" wrapText="1"/>
      <protection hidden="1"/>
    </xf>
    <xf numFmtId="0" fontId="0" fillId="0" borderId="3" xfId="0" applyBorder="1" applyAlignment="1" applyProtection="1">
      <alignment horizontal="center" vertical="center"/>
      <protection hidden="1"/>
    </xf>
    <xf numFmtId="0" fontId="40" fillId="0" borderId="85" xfId="0" applyFont="1" applyBorder="1" applyAlignment="1" applyProtection="1">
      <alignment vertical="center" wrapText="1"/>
      <protection hidden="1"/>
    </xf>
    <xf numFmtId="0" fontId="1" fillId="0" borderId="4" xfId="0" applyFont="1" applyBorder="1" applyAlignment="1" applyProtection="1">
      <alignment horizontal="left" vertical="center" wrapText="1"/>
      <protection hidden="1"/>
    </xf>
    <xf numFmtId="0" fontId="0" fillId="0" borderId="4" xfId="0" applyBorder="1" applyAlignment="1" applyProtection="1">
      <alignment horizontal="center" vertical="center"/>
      <protection hidden="1"/>
    </xf>
    <xf numFmtId="0" fontId="40" fillId="0" borderId="86" xfId="0" applyFont="1" applyBorder="1" applyAlignment="1" applyProtection="1">
      <alignment vertical="center" wrapText="1"/>
      <protection hidden="1"/>
    </xf>
    <xf numFmtId="0" fontId="1" fillId="0" borderId="7" xfId="0" applyFont="1" applyBorder="1" applyAlignment="1" applyProtection="1">
      <alignment horizontal="left" vertical="center" wrapText="1"/>
      <protection hidden="1"/>
    </xf>
    <xf numFmtId="0" fontId="0" fillId="0" borderId="7" xfId="0" applyBorder="1" applyAlignment="1" applyProtection="1">
      <alignment horizontal="center" vertical="center"/>
      <protection hidden="1"/>
    </xf>
    <xf numFmtId="0" fontId="40" fillId="0" borderId="5" xfId="0" applyFont="1" applyBorder="1" applyAlignment="1" applyProtection="1">
      <alignment vertical="center" wrapText="1"/>
      <protection hidden="1"/>
    </xf>
    <xf numFmtId="0" fontId="1" fillId="0" borderId="6" xfId="0" applyFont="1" applyBorder="1" applyAlignment="1" applyProtection="1">
      <alignment horizontal="left" vertical="center" wrapText="1"/>
      <protection hidden="1"/>
    </xf>
    <xf numFmtId="0" fontId="0" fillId="0" borderId="6" xfId="0" applyBorder="1" applyAlignment="1" applyProtection="1">
      <alignment horizontal="center" vertical="center"/>
      <protection hidden="1"/>
    </xf>
    <xf numFmtId="0" fontId="40" fillId="0" borderId="6" xfId="0" applyFont="1" applyBorder="1" applyAlignment="1" applyProtection="1">
      <alignment vertical="center" wrapText="1"/>
      <protection hidden="1"/>
    </xf>
    <xf numFmtId="0" fontId="40" fillId="0" borderId="3" xfId="0" applyFont="1" applyBorder="1" applyAlignment="1" applyProtection="1">
      <alignment vertical="center" wrapText="1"/>
      <protection hidden="1"/>
    </xf>
    <xf numFmtId="0" fontId="40" fillId="0" borderId="7" xfId="0" applyFont="1" applyBorder="1" applyAlignment="1" applyProtection="1">
      <alignment vertical="center" wrapText="1"/>
      <protection hidden="1"/>
    </xf>
    <xf numFmtId="0" fontId="48" fillId="0" borderId="22" xfId="0" applyFon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92" xfId="0" applyNumberFormat="1" applyBorder="1" applyAlignment="1" applyProtection="1">
      <alignment horizontal="center" vertical="center"/>
      <protection hidden="1"/>
    </xf>
    <xf numFmtId="9" fontId="0" fillId="0" borderId="93"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6" xfId="0" applyNumberFormat="1" applyFont="1" applyFill="1" applyBorder="1" applyAlignment="1" applyProtection="1">
      <alignment horizontal="center" vertical="center"/>
      <protection hidden="1"/>
    </xf>
    <xf numFmtId="0" fontId="42" fillId="0" borderId="3" xfId="0" applyFont="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2" xfId="0" applyNumberFormat="1" applyFont="1" applyFill="1" applyBorder="1" applyAlignment="1" applyProtection="1">
      <alignment horizontal="center" vertical="center" wrapText="1"/>
      <protection locked="0"/>
    </xf>
    <xf numFmtId="49" fontId="55" fillId="4" borderId="3" xfId="0" applyNumberFormat="1" applyFont="1" applyFill="1" applyBorder="1" applyAlignment="1" applyProtection="1">
      <alignment horizontal="center" vertical="center" wrapText="1"/>
      <protection locked="0"/>
    </xf>
    <xf numFmtId="49" fontId="55" fillId="4" borderId="4"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81"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49" fontId="44" fillId="9" borderId="14"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0" fontId="0" fillId="0" borderId="2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25" xfId="0" applyBorder="1" applyAlignment="1" applyProtection="1">
      <alignment horizontal="left" wrapText="1"/>
      <protection locked="0"/>
    </xf>
    <xf numFmtId="0" fontId="0" fillId="0" borderId="24"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52" fillId="12" borderId="0" xfId="0" applyFont="1" applyFill="1" applyAlignment="1">
      <alignment horizontal="center" vertical="center" wrapText="1"/>
    </xf>
    <xf numFmtId="0" fontId="0" fillId="0" borderId="73" xfId="0" applyBorder="1" applyAlignment="1">
      <alignment horizontal="center"/>
    </xf>
    <xf numFmtId="0" fontId="0" fillId="0" borderId="1" xfId="0" applyBorder="1" applyAlignment="1">
      <alignment horizontal="center"/>
    </xf>
    <xf numFmtId="49" fontId="49" fillId="4" borderId="91" xfId="0" applyNumberFormat="1" applyFont="1" applyFill="1" applyBorder="1" applyAlignment="1">
      <alignment horizontal="left" vertical="center" wrapText="1"/>
    </xf>
    <xf numFmtId="49" fontId="49" fillId="4" borderId="3" xfId="0" applyNumberFormat="1" applyFont="1" applyFill="1" applyBorder="1" applyAlignment="1">
      <alignment horizontal="left" vertical="center" wrapText="1"/>
    </xf>
    <xf numFmtId="49" fontId="49" fillId="4" borderId="92" xfId="0" applyNumberFormat="1" applyFont="1" applyFill="1" applyBorder="1" applyAlignment="1">
      <alignment horizontal="left" vertical="center" wrapText="1"/>
    </xf>
    <xf numFmtId="49" fontId="49" fillId="4" borderId="4" xfId="0" applyNumberFormat="1" applyFont="1" applyFill="1" applyBorder="1" applyAlignment="1">
      <alignment horizontal="left" vertical="center" wrapText="1"/>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2" xfId="0" applyNumberFormat="1" applyFont="1" applyFill="1" applyBorder="1" applyAlignment="1" applyProtection="1">
      <alignment horizontal="center" vertical="center"/>
      <protection locked="0"/>
    </xf>
    <xf numFmtId="164" fontId="56" fillId="4" borderId="23"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4"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5" xfId="0" applyFont="1" applyFill="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49" fontId="49" fillId="4" borderId="90" xfId="0" applyNumberFormat="1" applyFont="1" applyFill="1" applyBorder="1" applyAlignment="1">
      <alignment horizontal="left" vertical="center" wrapText="1"/>
    </xf>
    <xf numFmtId="49" fontId="49" fillId="4" borderId="2" xfId="0" applyNumberFormat="1" applyFont="1" applyFill="1" applyBorder="1" applyAlignment="1">
      <alignment horizontal="left" vertical="center" wrapText="1"/>
    </xf>
    <xf numFmtId="49" fontId="0" fillId="4" borderId="2" xfId="0" applyNumberFormat="1" applyFill="1" applyBorder="1" applyAlignment="1" applyProtection="1">
      <alignment horizontal="left" vertical="top" wrapText="1"/>
      <protection locked="0"/>
    </xf>
    <xf numFmtId="49" fontId="0" fillId="4" borderId="84"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85" xfId="0" applyNumberFormat="1" applyFill="1" applyBorder="1" applyAlignment="1" applyProtection="1">
      <alignment horizontal="left" vertical="top" wrapText="1"/>
      <protection locked="0"/>
    </xf>
    <xf numFmtId="49" fontId="0" fillId="4" borderId="4" xfId="0" applyNumberFormat="1" applyFill="1" applyBorder="1" applyAlignment="1" applyProtection="1">
      <alignment horizontal="left" vertical="top" wrapText="1"/>
      <protection locked="0"/>
    </xf>
    <xf numFmtId="49" fontId="0" fillId="4" borderId="86" xfId="0" applyNumberFormat="1" applyFill="1" applyBorder="1" applyAlignment="1" applyProtection="1">
      <alignment horizontal="left" vertical="top" wrapText="1"/>
      <protection locked="0"/>
    </xf>
    <xf numFmtId="0" fontId="26" fillId="4" borderId="59" xfId="3" applyFont="1" applyFill="1" applyBorder="1" applyAlignment="1">
      <alignment horizontal="left" vertical="top" wrapText="1"/>
    </xf>
    <xf numFmtId="0" fontId="26" fillId="4" borderId="0" xfId="3" applyFont="1" applyFill="1" applyAlignment="1">
      <alignment horizontal="left" vertical="top" wrapText="1"/>
    </xf>
    <xf numFmtId="0" fontId="26" fillId="4" borderId="60" xfId="3" applyFont="1" applyFill="1" applyBorder="1" applyAlignment="1">
      <alignment horizontal="left" vertical="top" wrapText="1"/>
    </xf>
    <xf numFmtId="0" fontId="26" fillId="4" borderId="0" xfId="3" applyFont="1" applyFill="1"/>
    <xf numFmtId="0" fontId="34" fillId="4" borderId="77" xfId="0" applyFont="1" applyFill="1" applyBorder="1" applyAlignment="1">
      <alignment horizontal="left" vertical="center" wrapText="1"/>
    </xf>
    <xf numFmtId="0" fontId="34" fillId="4" borderId="78" xfId="0" applyFont="1" applyFill="1" applyBorder="1" applyAlignment="1">
      <alignment horizontal="left" vertical="center" wrapText="1"/>
    </xf>
    <xf numFmtId="0" fontId="35" fillId="0" borderId="69" xfId="3" applyFont="1" applyBorder="1" applyAlignment="1">
      <alignment horizontal="left" vertical="center" wrapText="1"/>
    </xf>
    <xf numFmtId="0" fontId="35" fillId="0" borderId="70" xfId="3" applyFont="1" applyBorder="1" applyAlignment="1">
      <alignment horizontal="left" vertical="center" wrapText="1"/>
    </xf>
    <xf numFmtId="0" fontId="17" fillId="2" borderId="44" xfId="2" applyFont="1" applyFill="1" applyBorder="1" applyAlignment="1">
      <alignment horizontal="center" vertical="center" wrapText="1"/>
    </xf>
    <xf numFmtId="0" fontId="17" fillId="2" borderId="45" xfId="2" applyFont="1" applyFill="1" applyBorder="1" applyAlignment="1">
      <alignment horizontal="center" vertical="center" wrapText="1"/>
    </xf>
    <xf numFmtId="0" fontId="25" fillId="7" borderId="50" xfId="2" applyFont="1" applyFill="1" applyBorder="1" applyAlignment="1">
      <alignment horizontal="center" vertical="center"/>
    </xf>
    <xf numFmtId="0" fontId="25" fillId="7" borderId="51" xfId="2" applyFont="1" applyFill="1" applyBorder="1" applyAlignment="1">
      <alignment horizontal="center" vertical="center"/>
    </xf>
    <xf numFmtId="0" fontId="26" fillId="0" borderId="56" xfId="2" applyFont="1" applyBorder="1" applyAlignment="1">
      <alignment horizontal="justify" vertical="center" wrapText="1"/>
    </xf>
    <xf numFmtId="0" fontId="26" fillId="0" borderId="57" xfId="2" applyFont="1" applyBorder="1" applyAlignment="1">
      <alignment horizontal="justify" vertical="center" wrapText="1"/>
    </xf>
    <xf numFmtId="0" fontId="25" fillId="8" borderId="52" xfId="2" applyFont="1" applyFill="1" applyBorder="1" applyAlignment="1">
      <alignment horizontal="center" vertical="center" wrapText="1"/>
    </xf>
    <xf numFmtId="0" fontId="25" fillId="8" borderId="53" xfId="2" applyFont="1" applyFill="1" applyBorder="1" applyAlignment="1">
      <alignment horizontal="center" vertical="center"/>
    </xf>
    <xf numFmtId="0" fontId="26" fillId="0" borderId="53" xfId="2" applyFont="1" applyBorder="1" applyAlignment="1">
      <alignment horizontal="justify" vertical="center" wrapText="1"/>
    </xf>
    <xf numFmtId="0" fontId="26" fillId="0" borderId="54" xfId="2" applyFont="1" applyBorder="1" applyAlignment="1">
      <alignment horizontal="justify" vertical="center" wrapText="1"/>
    </xf>
    <xf numFmtId="0" fontId="37" fillId="4" borderId="71" xfId="2" applyFont="1" applyFill="1" applyBorder="1" applyAlignment="1">
      <alignment horizontal="center" vertical="center" wrapText="1"/>
    </xf>
    <xf numFmtId="0" fontId="24" fillId="4" borderId="71" xfId="2" applyFont="1" applyFill="1" applyBorder="1" applyAlignment="1">
      <alignment horizontal="center" vertical="center" wrapText="1"/>
    </xf>
    <xf numFmtId="0" fontId="17" fillId="2" borderId="46" xfId="2" applyFont="1" applyFill="1" applyBorder="1" applyAlignment="1">
      <alignment horizontal="center" vertical="center" wrapText="1"/>
    </xf>
    <xf numFmtId="0" fontId="25" fillId="14" borderId="47" xfId="2" applyFont="1" applyFill="1" applyBorder="1" applyAlignment="1">
      <alignment horizontal="center" vertical="center"/>
    </xf>
    <xf numFmtId="0" fontId="25" fillId="14" borderId="48" xfId="2" applyFont="1" applyFill="1" applyBorder="1" applyAlignment="1">
      <alignment horizontal="center" vertical="center"/>
    </xf>
    <xf numFmtId="0" fontId="26" fillId="0" borderId="48" xfId="2" applyFont="1" applyBorder="1" applyAlignment="1">
      <alignment horizontal="justify" vertical="center" wrapText="1"/>
    </xf>
    <xf numFmtId="0" fontId="26" fillId="0" borderId="49" xfId="2" applyFont="1" applyBorder="1" applyAlignment="1">
      <alignment horizontal="justify" vertical="center" wrapText="1"/>
    </xf>
    <xf numFmtId="0" fontId="34" fillId="4" borderId="75" xfId="4" applyFont="1" applyFill="1" applyBorder="1" applyAlignment="1">
      <alignment horizontal="left" vertical="center" wrapText="1" readingOrder="1"/>
    </xf>
    <xf numFmtId="0" fontId="34" fillId="4" borderId="76" xfId="4" applyFont="1" applyFill="1" applyBorder="1" applyAlignment="1">
      <alignment horizontal="left" vertical="center" wrapText="1" readingOrder="1"/>
    </xf>
    <xf numFmtId="0" fontId="35" fillId="0" borderId="65" xfId="3" applyFont="1" applyBorder="1" applyAlignment="1">
      <alignment horizontal="left" vertical="center" wrapText="1"/>
    </xf>
    <xf numFmtId="0" fontId="35" fillId="0" borderId="66" xfId="3" applyFont="1" applyBorder="1" applyAlignment="1">
      <alignment horizontal="left" vertical="center" wrapText="1"/>
    </xf>
    <xf numFmtId="0" fontId="34" fillId="4" borderId="67" xfId="0" applyFont="1" applyFill="1" applyBorder="1" applyAlignment="1">
      <alignment horizontal="left" vertical="center" wrapText="1"/>
    </xf>
    <xf numFmtId="0" fontId="34" fillId="4" borderId="68" xfId="0" applyFont="1" applyFill="1" applyBorder="1" applyAlignment="1">
      <alignment horizontal="left" vertical="center" wrapText="1"/>
    </xf>
    <xf numFmtId="0" fontId="35" fillId="0" borderId="69" xfId="3" applyFont="1" applyBorder="1" applyAlignment="1">
      <alignment horizontal="left" vertical="top" wrapText="1"/>
    </xf>
    <xf numFmtId="0" fontId="35" fillId="0" borderId="70" xfId="3" applyFont="1" applyBorder="1" applyAlignment="1">
      <alignment horizontal="left" vertical="top"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8" xfId="3" applyFont="1" applyBorder="1" applyAlignment="1">
      <alignment horizontal="center" vertical="center" wrapText="1"/>
    </xf>
    <xf numFmtId="0" fontId="26" fillId="0" borderId="59" xfId="3" quotePrefix="1" applyFont="1" applyBorder="1" applyAlignment="1">
      <alignment horizontal="left" vertical="center" wrapText="1"/>
    </xf>
    <xf numFmtId="0" fontId="26" fillId="0" borderId="0" xfId="3" quotePrefix="1" applyFont="1" applyAlignment="1">
      <alignment horizontal="left" vertical="center" wrapText="1"/>
    </xf>
    <xf numFmtId="0" fontId="26" fillId="0" borderId="60" xfId="3" quotePrefix="1" applyFont="1" applyBorder="1" applyAlignment="1">
      <alignment horizontal="left" vertical="center" wrapText="1"/>
    </xf>
    <xf numFmtId="0" fontId="31" fillId="4" borderId="59" xfId="3" quotePrefix="1" applyFont="1" applyFill="1" applyBorder="1" applyAlignment="1">
      <alignment horizontal="left" vertical="top" wrapText="1"/>
    </xf>
    <xf numFmtId="0" fontId="25" fillId="4" borderId="0" xfId="3" quotePrefix="1" applyFont="1" applyFill="1" applyAlignment="1">
      <alignment horizontal="left" vertical="top" wrapText="1"/>
    </xf>
    <xf numFmtId="0" fontId="25" fillId="4" borderId="60" xfId="3" quotePrefix="1" applyFont="1" applyFill="1" applyBorder="1" applyAlignment="1">
      <alignment horizontal="left" vertical="top" wrapText="1"/>
    </xf>
    <xf numFmtId="0" fontId="26" fillId="4" borderId="59" xfId="3" quotePrefix="1" applyFont="1" applyFill="1" applyBorder="1" applyAlignment="1">
      <alignment horizontal="left" vertical="top" wrapText="1"/>
    </xf>
    <xf numFmtId="0" fontId="26" fillId="4" borderId="0" xfId="3" quotePrefix="1" applyFont="1" applyFill="1" applyAlignment="1">
      <alignment horizontal="left" vertical="top" wrapText="1"/>
    </xf>
    <xf numFmtId="0" fontId="26" fillId="4" borderId="60" xfId="3" quotePrefix="1" applyFont="1" applyFill="1" applyBorder="1" applyAlignment="1">
      <alignment horizontal="left" vertical="top" wrapText="1"/>
    </xf>
    <xf numFmtId="0" fontId="34" fillId="16" borderId="61" xfId="4" applyFont="1" applyFill="1" applyBorder="1" applyAlignment="1">
      <alignment horizontal="center" vertical="center" wrapText="1"/>
    </xf>
    <xf numFmtId="0" fontId="34" fillId="16" borderId="62" xfId="4" applyFont="1" applyFill="1" applyBorder="1" applyAlignment="1">
      <alignment horizontal="center" vertical="center" wrapText="1"/>
    </xf>
    <xf numFmtId="0" fontId="34" fillId="16" borderId="63" xfId="3" applyFont="1" applyFill="1" applyBorder="1" applyAlignment="1">
      <alignment horizontal="center" vertical="center"/>
    </xf>
    <xf numFmtId="0" fontId="34" fillId="16" borderId="64" xfId="3" applyFont="1" applyFill="1" applyBorder="1" applyAlignment="1">
      <alignment horizontal="center" vertical="center"/>
    </xf>
    <xf numFmtId="49" fontId="45" fillId="5" borderId="0" xfId="0" applyNumberFormat="1" applyFont="1" applyFill="1" applyAlignment="1">
      <alignment horizontal="center" vertical="center"/>
    </xf>
    <xf numFmtId="0" fontId="44" fillId="11" borderId="11"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44" fillId="11" borderId="13" xfId="0" applyFont="1" applyFill="1" applyBorder="1" applyAlignment="1">
      <alignment horizontal="center" vertical="center" wrapText="1"/>
    </xf>
    <xf numFmtId="49" fontId="44" fillId="11" borderId="14" xfId="0" applyNumberFormat="1" applyFont="1" applyFill="1" applyBorder="1" applyAlignment="1">
      <alignment horizontal="center" vertical="center" wrapText="1"/>
    </xf>
    <xf numFmtId="49" fontId="44" fillId="11" borderId="15" xfId="0" applyNumberFormat="1" applyFont="1" applyFill="1" applyBorder="1" applyAlignment="1">
      <alignment horizontal="center" vertical="center" wrapText="1"/>
    </xf>
    <xf numFmtId="49" fontId="44" fillId="11" borderId="16" xfId="0" applyNumberFormat="1" applyFont="1" applyFill="1" applyBorder="1" applyAlignment="1">
      <alignment horizontal="center" vertical="center" wrapText="1"/>
    </xf>
    <xf numFmtId="0" fontId="44" fillId="9" borderId="11" xfId="0" applyFont="1" applyFill="1" applyBorder="1" applyAlignment="1">
      <alignment horizontal="center" vertical="center" wrapText="1"/>
    </xf>
    <xf numFmtId="0" fontId="44" fillId="9" borderId="12" xfId="0" applyFont="1" applyFill="1" applyBorder="1" applyAlignment="1">
      <alignment horizontal="center" vertical="center" wrapText="1"/>
    </xf>
    <xf numFmtId="0" fontId="44" fillId="9" borderId="13" xfId="0"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9" borderId="15" xfId="0" applyNumberFormat="1" applyFont="1" applyFill="1" applyBorder="1" applyAlignment="1">
      <alignment horizontal="center" vertical="center" wrapText="1"/>
    </xf>
    <xf numFmtId="49" fontId="44" fillId="9" borderId="16" xfId="0" applyNumberFormat="1"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4" fillId="6" borderId="12" xfId="0" applyFont="1" applyFill="1" applyBorder="1" applyAlignment="1">
      <alignment horizontal="center" vertical="center" wrapText="1"/>
    </xf>
    <xf numFmtId="0" fontId="44" fillId="6" borderId="13" xfId="0" applyFont="1" applyFill="1" applyBorder="1" applyAlignment="1">
      <alignment horizontal="center" vertical="center" wrapText="1"/>
    </xf>
    <xf numFmtId="49" fontId="8" fillId="6" borderId="14"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6"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49" fontId="8" fillId="10" borderId="15" xfId="0" applyNumberFormat="1" applyFont="1" applyFill="1" applyBorder="1" applyAlignment="1">
      <alignment horizontal="center" vertical="center" wrapText="1"/>
    </xf>
    <xf numFmtId="49" fontId="8" fillId="10" borderId="16" xfId="0" applyNumberFormat="1" applyFont="1" applyFill="1" applyBorder="1" applyAlignment="1">
      <alignment horizontal="center" vertical="center" wrapText="1"/>
    </xf>
    <xf numFmtId="0" fontId="44" fillId="10" borderId="11" xfId="0" applyFont="1" applyFill="1" applyBorder="1" applyAlignment="1">
      <alignment horizontal="center" vertical="center" wrapText="1"/>
    </xf>
    <xf numFmtId="0" fontId="44" fillId="10" borderId="12" xfId="0" applyFont="1" applyFill="1" applyBorder="1" applyAlignment="1">
      <alignment horizontal="center" vertical="center" wrapText="1"/>
    </xf>
    <xf numFmtId="0" fontId="44" fillId="10" borderId="13" xfId="0" applyFont="1" applyFill="1" applyBorder="1" applyAlignment="1">
      <alignment horizontal="center" vertical="center" wrapText="1"/>
    </xf>
    <xf numFmtId="0" fontId="44" fillId="9" borderId="6" xfId="0"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6" borderId="12" xfId="0" applyNumberFormat="1" applyFont="1" applyFill="1" applyBorder="1" applyAlignment="1">
      <alignment horizontal="center" vertical="center" wrapText="1"/>
    </xf>
    <xf numFmtId="49" fontId="44" fillId="6" borderId="13"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10" borderId="12"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2" borderId="12"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11" borderId="12"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9" borderId="12" xfId="0" applyNumberFormat="1" applyFont="1" applyFill="1" applyBorder="1" applyAlignment="1">
      <alignment horizontal="center" vertical="center" wrapText="1"/>
    </xf>
    <xf numFmtId="49" fontId="44" fillId="9" borderId="13"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0" fontId="44" fillId="10" borderId="3" xfId="0" applyFont="1" applyFill="1" applyBorder="1" applyAlignment="1">
      <alignment horizontal="center" vertical="center" wrapText="1"/>
    </xf>
    <xf numFmtId="49" fontId="44" fillId="10" borderId="15" xfId="0" applyNumberFormat="1" applyFont="1" applyFill="1" applyBorder="1" applyAlignment="1">
      <alignment horizontal="center" vertical="center" wrapText="1"/>
    </xf>
    <xf numFmtId="49" fontId="44" fillId="2" borderId="14" xfId="0" applyNumberFormat="1" applyFont="1" applyFill="1" applyBorder="1" applyAlignment="1">
      <alignment horizontal="center" vertical="center" wrapText="1"/>
    </xf>
    <xf numFmtId="49" fontId="44" fillId="2" borderId="15" xfId="0" applyNumberFormat="1" applyFont="1" applyFill="1" applyBorder="1" applyAlignment="1">
      <alignment horizontal="center" vertical="center" wrapText="1"/>
    </xf>
    <xf numFmtId="49" fontId="44" fillId="2" borderId="16" xfId="0" applyNumberFormat="1" applyFont="1" applyFill="1" applyBorder="1" applyAlignment="1">
      <alignment horizontal="center" vertical="center" wrapText="1"/>
    </xf>
    <xf numFmtId="0" fontId="44" fillId="2" borderId="11"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5" xfId="0" applyFont="1" applyFill="1" applyBorder="1" applyAlignment="1">
      <alignment horizontal="center" vertical="center"/>
    </xf>
    <xf numFmtId="0" fontId="19" fillId="3" borderId="32" xfId="2" applyFont="1" applyFill="1" applyBorder="1" applyAlignment="1">
      <alignment horizontal="center" vertical="center" wrapText="1"/>
    </xf>
    <xf numFmtId="0" fontId="19" fillId="3" borderId="33" xfId="2" applyFont="1" applyFill="1" applyBorder="1" applyAlignment="1">
      <alignment horizontal="center" vertical="center" wrapText="1"/>
    </xf>
    <xf numFmtId="0" fontId="23" fillId="6" borderId="14" xfId="0" applyFont="1" applyFill="1" applyBorder="1" applyAlignment="1">
      <alignment horizontal="center" vertical="center" textRotation="90" wrapText="1"/>
    </xf>
    <xf numFmtId="0" fontId="23" fillId="6" borderId="15" xfId="0" applyFont="1" applyFill="1" applyBorder="1" applyAlignment="1">
      <alignment horizontal="center" vertical="center" textRotation="90" wrapText="1"/>
    </xf>
    <xf numFmtId="0" fontId="23" fillId="6" borderId="16" xfId="0" applyFont="1" applyFill="1" applyBorder="1" applyAlignment="1">
      <alignment horizontal="center" vertical="center" textRotation="90" wrapText="1"/>
    </xf>
    <xf numFmtId="0" fontId="19" fillId="2" borderId="37" xfId="2" applyFont="1" applyFill="1" applyBorder="1" applyAlignment="1">
      <alignment horizontal="center" vertical="center" wrapText="1"/>
    </xf>
    <xf numFmtId="0" fontId="19" fillId="2" borderId="83" xfId="2" applyFont="1" applyFill="1" applyBorder="1" applyAlignment="1">
      <alignment horizontal="center" vertical="center" wrapText="1"/>
    </xf>
    <xf numFmtId="0" fontId="19" fillId="2" borderId="38"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9" fontId="41" fillId="0" borderId="87" xfId="0" applyNumberFormat="1" applyFont="1" applyBorder="1" applyAlignment="1" applyProtection="1">
      <alignment horizontal="center" vertical="center"/>
      <protection hidden="1"/>
    </xf>
    <xf numFmtId="9" fontId="41" fillId="0" borderId="88" xfId="0" applyNumberFormat="1" applyFont="1" applyBorder="1" applyAlignment="1" applyProtection="1">
      <alignment horizontal="center" vertical="center"/>
      <protection hidden="1"/>
    </xf>
    <xf numFmtId="9" fontId="28" fillId="7" borderId="84" xfId="1" applyFont="1" applyFill="1" applyBorder="1" applyAlignment="1" applyProtection="1">
      <alignment horizontal="center" vertical="center"/>
      <protection hidden="1"/>
    </xf>
    <xf numFmtId="9" fontId="28" fillId="7" borderId="85" xfId="1" applyFont="1" applyFill="1" applyBorder="1" applyAlignment="1" applyProtection="1">
      <alignment horizontal="center" vertical="center"/>
      <protection hidden="1"/>
    </xf>
    <xf numFmtId="9" fontId="28" fillId="7" borderId="86" xfId="1" applyFont="1" applyFill="1" applyBorder="1" applyAlignment="1" applyProtection="1">
      <alignment horizontal="center" vertical="center"/>
      <protection hidden="1"/>
    </xf>
    <xf numFmtId="0" fontId="27" fillId="9" borderId="14" xfId="0" applyFont="1" applyFill="1" applyBorder="1" applyAlignment="1">
      <alignment horizontal="center" vertical="center" textRotation="90"/>
    </xf>
    <xf numFmtId="0" fontId="27" fillId="9" borderId="15" xfId="0" applyFont="1" applyFill="1" applyBorder="1" applyAlignment="1">
      <alignment horizontal="center" vertical="center" textRotation="90"/>
    </xf>
    <xf numFmtId="0" fontId="27" fillId="9" borderId="16" xfId="0" applyFont="1" applyFill="1" applyBorder="1" applyAlignment="1">
      <alignment horizontal="center" vertical="center" textRotation="90"/>
    </xf>
    <xf numFmtId="9" fontId="41" fillId="4" borderId="87" xfId="0" applyNumberFormat="1" applyFont="1" applyFill="1" applyBorder="1" applyAlignment="1" applyProtection="1">
      <alignment horizontal="center" vertical="center"/>
      <protection hidden="1"/>
    </xf>
    <xf numFmtId="9" fontId="41" fillId="4" borderId="88" xfId="0" applyNumberFormat="1" applyFont="1" applyFill="1" applyBorder="1" applyAlignment="1" applyProtection="1">
      <alignment horizontal="center" vertical="center"/>
      <protection hidden="1"/>
    </xf>
    <xf numFmtId="9" fontId="41" fillId="4" borderId="89" xfId="0" applyNumberFormat="1" applyFont="1" applyFill="1" applyBorder="1" applyAlignment="1" applyProtection="1">
      <alignment horizontal="center" vertical="center"/>
      <protection hidden="1"/>
    </xf>
    <xf numFmtId="0" fontId="27" fillId="11" borderId="15"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0" fontId="27" fillId="2" borderId="15" xfId="0" applyFont="1" applyFill="1" applyBorder="1" applyAlignment="1">
      <alignment horizontal="center" vertical="center" textRotation="90"/>
    </xf>
    <xf numFmtId="0" fontId="27" fillId="2" borderId="16" xfId="0" applyFont="1" applyFill="1" applyBorder="1" applyAlignment="1">
      <alignment horizontal="center" vertical="center" textRotation="90"/>
    </xf>
    <xf numFmtId="9" fontId="41" fillId="0" borderId="89" xfId="0" applyNumberFormat="1" applyFont="1" applyBorder="1" applyAlignment="1" applyProtection="1">
      <alignment horizontal="center" vertical="center"/>
      <protection hidden="1"/>
    </xf>
    <xf numFmtId="0" fontId="27" fillId="10" borderId="14" xfId="0" applyFont="1" applyFill="1" applyBorder="1" applyAlignment="1">
      <alignment horizontal="center" vertical="center" textRotation="90"/>
    </xf>
    <xf numFmtId="0" fontId="27" fillId="10" borderId="15" xfId="0" applyFont="1" applyFill="1" applyBorder="1" applyAlignment="1">
      <alignment horizontal="center" vertical="center" textRotation="90"/>
    </xf>
    <xf numFmtId="0" fontId="57" fillId="0" borderId="24" xfId="0" applyFont="1" applyBorder="1" applyAlignment="1" applyProtection="1">
      <alignment horizontal="left" vertical="center" wrapText="1"/>
      <protection locked="0"/>
    </xf>
    <xf numFmtId="0" fontId="57" fillId="0" borderId="1" xfId="0" applyFont="1" applyBorder="1" applyAlignment="1" applyProtection="1">
      <alignment horizontal="left" vertical="center" wrapText="1"/>
      <protection locked="0"/>
    </xf>
    <xf numFmtId="0" fontId="57" fillId="0" borderId="25" xfId="0" applyFont="1" applyBorder="1" applyAlignment="1" applyProtection="1">
      <alignment horizontal="left" vertical="center" wrapText="1"/>
      <protection locked="0"/>
    </xf>
    <xf numFmtId="0" fontId="0" fillId="0" borderId="24"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4" xfId="0" applyFont="1"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0" fontId="0" fillId="0" borderId="25" xfId="0" applyFont="1" applyBorder="1" applyAlignment="1" applyProtection="1">
      <alignment horizontal="left" vertical="center" wrapText="1"/>
      <protection locked="0"/>
    </xf>
  </cellXfs>
  <cellStyles count="5">
    <cellStyle name="Normal" xfId="0" builtinId="0"/>
    <cellStyle name="Normal - Style1 2" xfId="3" xr:uid="{00000000-0005-0000-0000-000001000000}"/>
    <cellStyle name="Normal 2" xfId="2" xr:uid="{00000000-0005-0000-0000-000002000000}"/>
    <cellStyle name="Normal 2 2" xfId="4" xr:uid="{00000000-0005-0000-0000-000003000000}"/>
    <cellStyle name="Porcentaje" xfId="1" builtinId="5"/>
  </cellStyles>
  <dxfs count="20">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7</xdr:col>
      <xdr:colOff>726282</xdr:colOff>
      <xdr:row>11</xdr:row>
      <xdr:rowOff>47624</xdr:rowOff>
    </xdr:to>
    <xdr:pic>
      <xdr:nvPicPr>
        <xdr:cNvPr id="2"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ll/Desktop/cesar/HISTORICOS/2020-04-22_Formato_informe_sci_parametrizado_final.xlsx" TargetMode="External"/><Relationship Id="rId1" Type="http://schemas.openxmlformats.org/officeDocument/2006/relationships/externalLinkPath" Target="/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 val="Hoja4"/>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6" zoomScale="90" zoomScaleNormal="90" workbookViewId="0">
      <selection activeCell="E18" sqref="E18:F18"/>
    </sheetView>
  </sheetViews>
  <sheetFormatPr baseColWidth="10" defaultColWidth="0" defaultRowHeight="12.75" zeroHeight="1" x14ac:dyDescent="0.2"/>
  <cols>
    <col min="1" max="1" width="3.85546875" style="42" customWidth="1"/>
    <col min="2" max="2" width="15.28515625" style="42" customWidth="1"/>
    <col min="3" max="3" width="17.28515625" style="42" customWidth="1"/>
    <col min="4" max="4" width="28.5703125" style="42" customWidth="1"/>
    <col min="5" max="5" width="12.85546875" style="42" customWidth="1"/>
    <col min="6" max="6" width="47.140625" style="42" customWidth="1"/>
    <col min="7" max="7" width="21.42578125" style="42" customWidth="1"/>
    <col min="8" max="8" width="6.5703125" style="42" customWidth="1"/>
    <col min="9" max="9" width="2.5703125" style="42" customWidth="1"/>
    <col min="10" max="16384" width="11.42578125" style="42" hidden="1"/>
  </cols>
  <sheetData>
    <row r="1" spans="2:8" ht="13.5" thickBot="1" x14ac:dyDescent="0.25"/>
    <row r="2" spans="2:8" ht="73.5" customHeight="1" x14ac:dyDescent="0.2">
      <c r="B2" s="218" t="s">
        <v>0</v>
      </c>
      <c r="C2" s="219"/>
      <c r="D2" s="219"/>
      <c r="E2" s="219"/>
      <c r="F2" s="219"/>
      <c r="G2" s="219"/>
      <c r="H2" s="220"/>
    </row>
    <row r="3" spans="2:8" ht="65.25" customHeight="1" x14ac:dyDescent="0.2">
      <c r="B3" s="221" t="s">
        <v>1</v>
      </c>
      <c r="C3" s="222"/>
      <c r="D3" s="222"/>
      <c r="E3" s="222"/>
      <c r="F3" s="222"/>
      <c r="G3" s="222"/>
      <c r="H3" s="223"/>
    </row>
    <row r="4" spans="2:8" ht="82.5" customHeight="1" x14ac:dyDescent="0.2">
      <c r="B4" s="221"/>
      <c r="C4" s="222"/>
      <c r="D4" s="222"/>
      <c r="E4" s="222"/>
      <c r="F4" s="222"/>
      <c r="G4" s="222"/>
      <c r="H4" s="223"/>
    </row>
    <row r="5" spans="2:8" ht="21.75" customHeight="1" x14ac:dyDescent="0.2">
      <c r="B5" s="224" t="s">
        <v>2</v>
      </c>
      <c r="C5" s="225"/>
      <c r="D5" s="225"/>
      <c r="E5" s="225"/>
      <c r="F5" s="225"/>
      <c r="G5" s="225"/>
      <c r="H5" s="226"/>
    </row>
    <row r="6" spans="2:8" ht="42" customHeight="1" x14ac:dyDescent="0.2">
      <c r="B6" s="227" t="s">
        <v>3</v>
      </c>
      <c r="C6" s="228"/>
      <c r="D6" s="228"/>
      <c r="E6" s="228"/>
      <c r="F6" s="228"/>
      <c r="G6" s="228"/>
      <c r="H6" s="229"/>
    </row>
    <row r="7" spans="2:8" ht="14.25" customHeight="1" x14ac:dyDescent="0.2">
      <c r="B7" s="227"/>
      <c r="C7" s="228"/>
      <c r="D7" s="228"/>
      <c r="E7" s="228"/>
      <c r="F7" s="228"/>
      <c r="G7" s="228"/>
      <c r="H7" s="229"/>
    </row>
    <row r="8" spans="2:8" ht="12.75" customHeight="1" thickBot="1" x14ac:dyDescent="0.25">
      <c r="B8" s="54"/>
      <c r="C8" s="48"/>
      <c r="D8" s="63"/>
      <c r="E8" s="64"/>
      <c r="F8" s="64"/>
      <c r="G8" s="62"/>
      <c r="H8" s="56"/>
    </row>
    <row r="9" spans="2:8" ht="21" customHeight="1" thickTop="1" x14ac:dyDescent="0.2">
      <c r="B9" s="54"/>
      <c r="C9" s="230" t="s">
        <v>4</v>
      </c>
      <c r="D9" s="231"/>
      <c r="E9" s="232" t="s">
        <v>5</v>
      </c>
      <c r="F9" s="233"/>
      <c r="G9" s="48"/>
      <c r="H9" s="56"/>
    </row>
    <row r="10" spans="2:8" ht="37.5" customHeight="1" x14ac:dyDescent="0.2">
      <c r="B10" s="54"/>
      <c r="C10" s="210" t="s">
        <v>6</v>
      </c>
      <c r="D10" s="211"/>
      <c r="E10" s="212" t="s">
        <v>7</v>
      </c>
      <c r="F10" s="213"/>
      <c r="G10" s="48"/>
      <c r="H10" s="56"/>
    </row>
    <row r="11" spans="2:8" ht="39.75" customHeight="1" x14ac:dyDescent="0.2">
      <c r="B11" s="54"/>
      <c r="C11" s="214" t="s">
        <v>8</v>
      </c>
      <c r="D11" s="215"/>
      <c r="E11" s="191" t="s">
        <v>9</v>
      </c>
      <c r="F11" s="192"/>
      <c r="G11" s="48"/>
      <c r="H11" s="56"/>
    </row>
    <row r="12" spans="2:8" ht="59.25" customHeight="1" x14ac:dyDescent="0.2">
      <c r="B12" s="54"/>
      <c r="C12" s="214" t="s">
        <v>10</v>
      </c>
      <c r="D12" s="215"/>
      <c r="E12" s="216" t="s">
        <v>11</v>
      </c>
      <c r="F12" s="217"/>
      <c r="G12" s="48"/>
      <c r="H12" s="56"/>
    </row>
    <row r="13" spans="2:8" ht="33.75" customHeight="1" x14ac:dyDescent="0.2">
      <c r="B13" s="54"/>
      <c r="C13" s="189" t="s">
        <v>12</v>
      </c>
      <c r="D13" s="190"/>
      <c r="E13" s="191" t="s">
        <v>13</v>
      </c>
      <c r="F13" s="192"/>
      <c r="G13" s="48"/>
      <c r="H13" s="56"/>
    </row>
    <row r="14" spans="2:8" ht="19.5" customHeight="1" x14ac:dyDescent="0.2">
      <c r="B14" s="54"/>
      <c r="C14" s="60"/>
      <c r="D14" s="60"/>
      <c r="E14" s="61"/>
      <c r="F14" s="61"/>
      <c r="G14" s="48"/>
      <c r="H14" s="56"/>
    </row>
    <row r="15" spans="2:8" ht="37.5" customHeight="1" thickBot="1" x14ac:dyDescent="0.25">
      <c r="B15" s="185" t="s">
        <v>14</v>
      </c>
      <c r="C15" s="186"/>
      <c r="D15" s="186"/>
      <c r="E15" s="186"/>
      <c r="F15" s="186"/>
      <c r="G15" s="186"/>
      <c r="H15" s="187"/>
    </row>
    <row r="16" spans="2:8" ht="27.75" customHeight="1" thickBot="1" x14ac:dyDescent="0.25">
      <c r="B16" s="54"/>
      <c r="C16" s="193" t="s">
        <v>15</v>
      </c>
      <c r="D16" s="194"/>
      <c r="E16" s="194" t="s">
        <v>16</v>
      </c>
      <c r="F16" s="205"/>
      <c r="G16" s="48"/>
      <c r="H16" s="56"/>
    </row>
    <row r="17" spans="2:8" ht="27.75" customHeight="1" x14ac:dyDescent="0.2">
      <c r="B17" s="54"/>
      <c r="C17" s="206" t="s">
        <v>17</v>
      </c>
      <c r="D17" s="207"/>
      <c r="E17" s="208" t="s">
        <v>18</v>
      </c>
      <c r="F17" s="209"/>
      <c r="G17" s="93"/>
      <c r="H17" s="56"/>
    </row>
    <row r="18" spans="2:8" ht="41.25" customHeight="1" x14ac:dyDescent="0.2">
      <c r="B18" s="54"/>
      <c r="C18" s="195" t="s">
        <v>19</v>
      </c>
      <c r="D18" s="196"/>
      <c r="E18" s="197" t="s">
        <v>20</v>
      </c>
      <c r="F18" s="198"/>
      <c r="G18" s="94"/>
      <c r="H18" s="56"/>
    </row>
    <row r="19" spans="2:8" ht="37.5" customHeight="1" thickBot="1" x14ac:dyDescent="0.25">
      <c r="B19" s="54"/>
      <c r="C19" s="199" t="s">
        <v>21</v>
      </c>
      <c r="D19" s="200"/>
      <c r="E19" s="201" t="s">
        <v>22</v>
      </c>
      <c r="F19" s="202"/>
      <c r="G19" s="94"/>
      <c r="H19" s="56"/>
    </row>
    <row r="20" spans="2:8" ht="11.25" customHeight="1" x14ac:dyDescent="0.2">
      <c r="B20" s="49"/>
      <c r="C20" s="50"/>
      <c r="D20" s="50"/>
      <c r="E20" s="50"/>
      <c r="F20" s="50"/>
      <c r="G20" s="50"/>
      <c r="H20" s="51"/>
    </row>
    <row r="21" spans="2:8" ht="14.25" customHeight="1" x14ac:dyDescent="0.2">
      <c r="B21" s="52"/>
      <c r="C21" s="203"/>
      <c r="D21" s="203"/>
      <c r="E21" s="204"/>
      <c r="F21" s="204"/>
      <c r="G21" s="204"/>
      <c r="H21" s="53"/>
    </row>
    <row r="22" spans="2:8" ht="36" customHeight="1" x14ac:dyDescent="0.2">
      <c r="B22" s="185" t="s">
        <v>23</v>
      </c>
      <c r="C22" s="186"/>
      <c r="D22" s="186"/>
      <c r="E22" s="186"/>
      <c r="F22" s="186"/>
      <c r="G22" s="186"/>
      <c r="H22" s="187"/>
    </row>
    <row r="23" spans="2:8" ht="13.5" x14ac:dyDescent="0.2">
      <c r="B23" s="54"/>
      <c r="C23" s="55"/>
      <c r="D23" s="55"/>
      <c r="E23" s="188"/>
      <c r="F23" s="188"/>
      <c r="G23" s="48"/>
      <c r="H23" s="56"/>
    </row>
    <row r="24" spans="2:8" ht="13.5" thickBot="1" x14ac:dyDescent="0.25">
      <c r="B24" s="57"/>
      <c r="C24" s="58"/>
      <c r="D24" s="58"/>
      <c r="E24" s="58"/>
      <c r="F24" s="58"/>
      <c r="G24" s="58"/>
      <c r="H24" s="59"/>
    </row>
    <row r="25" spans="2:8" x14ac:dyDescent="0.2"/>
    <row r="26" spans="2:8" ht="29.25" customHeight="1" x14ac:dyDescent="0.2"/>
    <row r="27" spans="2:8" ht="26.25" customHeight="1" x14ac:dyDescent="0.2"/>
    <row r="28" spans="2:8" ht="43.5" customHeight="1" x14ac:dyDescent="0.2"/>
    <row r="29" spans="2:8" ht="53.25" customHeight="1" x14ac:dyDescent="0.2"/>
    <row r="30" spans="2:8" x14ac:dyDescent="0.2"/>
    <row r="31" spans="2:8" x14ac:dyDescent="0.2"/>
    <row r="32" spans="2:8" x14ac:dyDescent="0.2"/>
    <row r="33" x14ac:dyDescent="0.2"/>
    <row r="34" x14ac:dyDescent="0.2"/>
    <row r="35"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x14ac:dyDescent="0.2"/>
    <row r="52" x14ac:dyDescent="0.2"/>
    <row r="54" x14ac:dyDescent="0.2"/>
  </sheetData>
  <sheetProtection algorithmName="SHA-512" hashValue="t7sIeOvFa2bhukBsHVcHmO5gG9cifT20ZR8W/o5PL1FLs7w8K+KkEm6wLVbMVfYFM8W9luBRuNKu+qdhAWPM7w==" saltValue="H/shNuEdnFDauevCofk8Sw==" spinCount="100000" sheet="1" objects="1" scenarios="1"/>
  <mergeCells count="27">
    <mergeCell ref="B2:H2"/>
    <mergeCell ref="B3:H4"/>
    <mergeCell ref="B5:H5"/>
    <mergeCell ref="B6:H7"/>
    <mergeCell ref="C9:D9"/>
    <mergeCell ref="E9:F9"/>
    <mergeCell ref="C10:D10"/>
    <mergeCell ref="E10:F10"/>
    <mergeCell ref="C11:D11"/>
    <mergeCell ref="E11:F11"/>
    <mergeCell ref="C12:D12"/>
    <mergeCell ref="E12:F12"/>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9"/>
  <sheetViews>
    <sheetView showGridLines="0" tabSelected="1" topLeftCell="D10" zoomScale="80" zoomScaleNormal="80" workbookViewId="0">
      <selection activeCell="D69" sqref="D69"/>
    </sheetView>
  </sheetViews>
  <sheetFormatPr baseColWidth="10" defaultColWidth="11.42578125" defaultRowHeight="16.5" x14ac:dyDescent="0.3"/>
  <cols>
    <col min="1" max="1" width="3" style="44" hidden="1" customWidth="1"/>
    <col min="2" max="2" width="9.42578125" style="44" customWidth="1"/>
    <col min="3" max="3" width="25.5703125" style="44" customWidth="1"/>
    <col min="4" max="4" width="46.5703125" style="44" customWidth="1"/>
    <col min="5" max="5" width="10.140625" style="66" customWidth="1"/>
    <col min="6" max="6" width="44.5703125" style="66" customWidth="1"/>
    <col min="7" max="7" width="15.42578125" style="44" customWidth="1"/>
    <col min="8" max="9" width="43" style="44" customWidth="1"/>
    <col min="10" max="12" width="11.42578125" style="69" customWidth="1"/>
    <col min="13" max="24" width="11.42578125" style="44" customWidth="1"/>
    <col min="25" max="16384" width="11.42578125" style="44"/>
  </cols>
  <sheetData>
    <row r="1" spans="1:32" x14ac:dyDescent="0.3">
      <c r="B1" s="43"/>
      <c r="C1" s="43"/>
      <c r="D1" s="43"/>
      <c r="E1" s="65"/>
      <c r="F1" s="65"/>
      <c r="G1" s="43"/>
      <c r="H1" s="43"/>
      <c r="I1" s="43"/>
      <c r="J1" s="67"/>
      <c r="K1" s="67"/>
      <c r="L1" s="67"/>
      <c r="M1" s="43"/>
      <c r="N1" s="43"/>
      <c r="O1" s="43"/>
      <c r="P1" s="43"/>
      <c r="Q1" s="43"/>
      <c r="R1" s="43"/>
      <c r="S1" s="43"/>
      <c r="T1" s="43"/>
      <c r="U1" s="43"/>
      <c r="V1" s="43"/>
      <c r="W1" s="43"/>
      <c r="X1" s="43"/>
    </row>
    <row r="2" spans="1:32" x14ac:dyDescent="0.3">
      <c r="B2" s="43"/>
      <c r="C2" s="43"/>
      <c r="D2" s="43"/>
      <c r="E2" s="65"/>
      <c r="F2" s="65"/>
      <c r="G2" s="43"/>
      <c r="H2" s="43"/>
      <c r="I2" s="43"/>
      <c r="J2" s="67"/>
      <c r="K2" s="67"/>
      <c r="L2" s="67"/>
      <c r="M2" s="43"/>
      <c r="N2" s="43"/>
      <c r="O2" s="43"/>
      <c r="P2" s="43"/>
      <c r="Q2" s="43"/>
      <c r="R2" s="43"/>
      <c r="S2" s="43"/>
      <c r="T2" s="43"/>
      <c r="U2" s="43"/>
      <c r="V2" s="43"/>
      <c r="W2" s="43"/>
      <c r="X2" s="43"/>
    </row>
    <row r="3" spans="1:32" x14ac:dyDescent="0.3">
      <c r="B3" s="43"/>
      <c r="C3" s="43"/>
      <c r="D3" s="43"/>
      <c r="E3" s="65"/>
      <c r="F3" s="65"/>
      <c r="G3" s="43"/>
      <c r="H3" s="43"/>
      <c r="I3" s="43"/>
      <c r="J3" s="67"/>
      <c r="K3" s="67"/>
      <c r="L3" s="67"/>
      <c r="M3" s="43"/>
      <c r="N3" s="43"/>
      <c r="O3" s="43"/>
      <c r="P3" s="43"/>
      <c r="Q3" s="43"/>
      <c r="R3" s="43"/>
      <c r="S3" s="43"/>
      <c r="T3" s="43"/>
      <c r="U3" s="43"/>
      <c r="V3" s="43"/>
      <c r="W3" s="43"/>
      <c r="X3" s="43"/>
    </row>
    <row r="4" spans="1:32" x14ac:dyDescent="0.3">
      <c r="B4" s="43"/>
      <c r="C4" s="43"/>
      <c r="D4" s="43"/>
      <c r="E4" s="65"/>
      <c r="F4" s="65"/>
      <c r="G4" s="43"/>
      <c r="H4" s="43"/>
      <c r="I4" s="43"/>
      <c r="J4" s="67"/>
      <c r="K4" s="67"/>
      <c r="L4" s="67"/>
      <c r="M4" s="43"/>
      <c r="N4" s="43"/>
      <c r="O4" s="43"/>
      <c r="P4" s="43"/>
      <c r="Q4" s="43"/>
      <c r="R4" s="43"/>
      <c r="S4" s="43"/>
      <c r="T4" s="43"/>
      <c r="U4" s="43"/>
      <c r="V4" s="43"/>
      <c r="W4" s="43"/>
      <c r="X4" s="43"/>
    </row>
    <row r="5" spans="1:32" x14ac:dyDescent="0.3">
      <c r="B5" s="43"/>
      <c r="C5" s="43"/>
      <c r="D5" s="43"/>
      <c r="E5" s="65"/>
      <c r="F5" s="65"/>
      <c r="G5" s="43"/>
      <c r="H5" s="43"/>
      <c r="I5" s="43"/>
      <c r="J5" s="67"/>
      <c r="K5" s="67"/>
      <c r="L5" s="67"/>
      <c r="M5" s="43"/>
      <c r="N5" s="43"/>
      <c r="O5" s="43"/>
      <c r="P5" s="43"/>
      <c r="Q5" s="43"/>
      <c r="R5" s="43"/>
      <c r="S5" s="43"/>
      <c r="T5" s="43"/>
      <c r="U5" s="43"/>
      <c r="V5" s="43"/>
      <c r="W5" s="43"/>
      <c r="X5" s="43"/>
    </row>
    <row r="6" spans="1:32" x14ac:dyDescent="0.3">
      <c r="B6" s="43"/>
      <c r="C6" s="43"/>
      <c r="D6" s="43"/>
      <c r="E6" s="65"/>
      <c r="F6" s="65"/>
      <c r="G6" s="43"/>
      <c r="H6" s="43"/>
      <c r="I6" s="43"/>
      <c r="J6" s="67"/>
      <c r="K6" s="67"/>
      <c r="L6" s="67"/>
      <c r="M6" s="43"/>
      <c r="N6" s="43"/>
      <c r="O6" s="43"/>
      <c r="P6" s="43"/>
      <c r="Q6" s="43"/>
      <c r="R6" s="43"/>
      <c r="S6" s="43"/>
      <c r="T6" s="43"/>
      <c r="U6" s="43"/>
      <c r="V6" s="43"/>
      <c r="W6" s="43"/>
      <c r="X6" s="43"/>
    </row>
    <row r="7" spans="1:32" x14ac:dyDescent="0.3">
      <c r="B7" s="43"/>
      <c r="C7" s="43"/>
      <c r="D7" s="43"/>
      <c r="E7" s="65"/>
      <c r="F7" s="65"/>
      <c r="G7" s="43"/>
      <c r="H7" s="43"/>
      <c r="I7" s="43"/>
      <c r="J7" s="67"/>
      <c r="K7" s="67"/>
      <c r="L7" s="67"/>
      <c r="M7" s="43"/>
      <c r="N7" s="43"/>
      <c r="O7" s="43"/>
      <c r="P7" s="43"/>
      <c r="Q7" s="43"/>
      <c r="R7" s="43"/>
      <c r="S7" s="43"/>
      <c r="T7" s="43"/>
      <c r="U7" s="43"/>
      <c r="V7" s="43"/>
      <c r="W7" s="43"/>
      <c r="X7" s="43"/>
    </row>
    <row r="8" spans="1:32" x14ac:dyDescent="0.3">
      <c r="B8" s="43"/>
      <c r="C8" s="43"/>
      <c r="D8" s="43"/>
      <c r="E8" s="65"/>
      <c r="F8" s="65"/>
      <c r="G8" s="43"/>
      <c r="H8" s="43"/>
      <c r="I8" s="43"/>
      <c r="J8" s="67"/>
      <c r="K8" s="67"/>
      <c r="L8" s="67"/>
      <c r="M8" s="43"/>
      <c r="N8" s="43"/>
      <c r="O8" s="43"/>
      <c r="P8" s="43"/>
      <c r="Q8" s="43"/>
      <c r="R8" s="43"/>
      <c r="S8" s="43"/>
      <c r="T8" s="43"/>
      <c r="U8" s="43"/>
      <c r="V8" s="43"/>
      <c r="W8" s="43"/>
      <c r="X8" s="43"/>
    </row>
    <row r="9" spans="1:32" x14ac:dyDescent="0.3">
      <c r="B9" s="43"/>
      <c r="C9" s="43"/>
      <c r="D9" s="43"/>
      <c r="E9" s="65"/>
      <c r="F9" s="65"/>
      <c r="G9" s="43"/>
      <c r="H9" s="43"/>
      <c r="I9" s="43"/>
      <c r="J9" s="67"/>
      <c r="K9" s="67"/>
      <c r="L9" s="67"/>
      <c r="M9" s="43"/>
      <c r="N9" s="43"/>
      <c r="O9" s="43"/>
      <c r="P9" s="43"/>
      <c r="Q9" s="43"/>
      <c r="R9" s="43"/>
      <c r="S9" s="43"/>
      <c r="T9" s="43"/>
      <c r="U9" s="43"/>
      <c r="V9" s="43"/>
      <c r="W9" s="43"/>
      <c r="X9" s="43"/>
    </row>
    <row r="10" spans="1:32" x14ac:dyDescent="0.3">
      <c r="B10" s="43"/>
      <c r="C10" s="43"/>
      <c r="D10" s="43"/>
      <c r="E10" s="65"/>
      <c r="F10" s="65"/>
      <c r="G10" s="43"/>
      <c r="H10" s="43"/>
      <c r="I10" s="43"/>
      <c r="J10" s="67"/>
      <c r="K10" s="67"/>
      <c r="L10" s="67"/>
      <c r="M10" s="43"/>
      <c r="N10" s="43"/>
      <c r="O10" s="43"/>
      <c r="P10" s="43"/>
      <c r="Q10" s="43"/>
      <c r="R10" s="43"/>
      <c r="S10" s="43"/>
      <c r="T10" s="43"/>
      <c r="U10" s="43"/>
      <c r="V10" s="43"/>
      <c r="W10" s="43"/>
      <c r="X10" s="43"/>
    </row>
    <row r="11" spans="1:32" x14ac:dyDescent="0.3">
      <c r="B11" s="43"/>
      <c r="C11" s="43"/>
      <c r="D11" s="43"/>
      <c r="E11" s="65"/>
      <c r="F11" s="65"/>
      <c r="G11" s="43"/>
      <c r="H11" s="43"/>
      <c r="I11" s="43"/>
      <c r="J11" s="67"/>
      <c r="K11" s="67"/>
      <c r="L11" s="67"/>
      <c r="M11" s="43"/>
      <c r="N11" s="43"/>
      <c r="O11" s="43"/>
      <c r="P11" s="43"/>
      <c r="Q11" s="43"/>
      <c r="R11" s="43"/>
      <c r="S11" s="43"/>
      <c r="T11" s="43"/>
      <c r="U11" s="43"/>
      <c r="V11" s="43"/>
      <c r="W11" s="43"/>
      <c r="X11" s="43"/>
    </row>
    <row r="12" spans="1:32" x14ac:dyDescent="0.3">
      <c r="B12" s="43"/>
      <c r="C12" s="43"/>
      <c r="D12" s="43"/>
      <c r="E12" s="65"/>
      <c r="F12" s="65"/>
      <c r="G12" s="43"/>
      <c r="H12" s="43"/>
      <c r="I12" s="43"/>
      <c r="J12" s="67"/>
      <c r="K12" s="67"/>
      <c r="L12" s="67"/>
      <c r="M12" s="43"/>
      <c r="N12" s="43"/>
      <c r="O12" s="43"/>
      <c r="P12" s="43"/>
      <c r="Q12" s="43"/>
      <c r="R12" s="43"/>
      <c r="S12" s="43"/>
      <c r="T12" s="43"/>
      <c r="U12" s="43"/>
      <c r="V12" s="43"/>
      <c r="W12" s="43"/>
      <c r="X12" s="43"/>
    </row>
    <row r="13" spans="1:32" x14ac:dyDescent="0.3">
      <c r="B13" s="43"/>
      <c r="C13" s="43"/>
      <c r="D13" s="43"/>
      <c r="E13" s="65"/>
      <c r="F13" s="65"/>
      <c r="G13" s="43"/>
      <c r="H13" s="43"/>
      <c r="I13" s="43"/>
      <c r="J13" s="67"/>
      <c r="K13" s="67"/>
      <c r="L13" s="67"/>
      <c r="M13" s="43"/>
      <c r="N13" s="43"/>
      <c r="O13" s="43"/>
      <c r="P13" s="43"/>
      <c r="Q13" s="43"/>
      <c r="R13" s="43"/>
      <c r="S13" s="43"/>
      <c r="T13" s="43"/>
      <c r="U13" s="43"/>
      <c r="V13" s="43"/>
      <c r="W13" s="43"/>
      <c r="X13" s="43"/>
    </row>
    <row r="14" spans="1:32" s="46" customFormat="1" ht="49.5" customHeight="1" x14ac:dyDescent="0.25">
      <c r="B14" s="234" t="s">
        <v>24</v>
      </c>
      <c r="C14" s="234"/>
      <c r="D14" s="234"/>
      <c r="E14" s="234"/>
      <c r="F14" s="234"/>
      <c r="G14" s="234"/>
      <c r="H14" s="234"/>
      <c r="I14" s="234"/>
      <c r="J14" s="68"/>
      <c r="K14" s="68"/>
      <c r="L14" s="68"/>
      <c r="M14" s="45"/>
      <c r="N14" s="45"/>
      <c r="O14" s="45"/>
      <c r="P14" s="45"/>
      <c r="Q14" s="45"/>
      <c r="R14" s="45"/>
      <c r="S14" s="45"/>
      <c r="T14" s="45"/>
      <c r="U14" s="45"/>
      <c r="V14" s="45"/>
      <c r="W14" s="45"/>
      <c r="X14" s="45"/>
      <c r="Y14" s="45"/>
      <c r="Z14" s="45"/>
      <c r="AA14" s="45"/>
      <c r="AB14" s="45"/>
      <c r="AC14" s="45"/>
      <c r="AD14" s="45"/>
      <c r="AE14" s="45"/>
      <c r="AF14" s="45"/>
    </row>
    <row r="15" spans="1:32" s="46" customFormat="1" ht="123.75" customHeight="1" thickBot="1" x14ac:dyDescent="0.3">
      <c r="B15" s="71" t="s">
        <v>25</v>
      </c>
      <c r="C15" s="71" t="s">
        <v>6</v>
      </c>
      <c r="D15" s="72" t="s">
        <v>8</v>
      </c>
      <c r="E15" s="73" t="s">
        <v>26</v>
      </c>
      <c r="F15" s="73" t="s">
        <v>27</v>
      </c>
      <c r="G15" s="73" t="s">
        <v>28</v>
      </c>
      <c r="H15" s="74" t="s">
        <v>29</v>
      </c>
      <c r="I15" s="73" t="s">
        <v>30</v>
      </c>
      <c r="J15" s="68"/>
      <c r="K15" s="68"/>
      <c r="L15" s="68"/>
      <c r="M15" s="45"/>
      <c r="N15" s="45"/>
      <c r="O15" s="45"/>
      <c r="P15" s="45"/>
      <c r="Q15" s="45"/>
      <c r="R15" s="45"/>
      <c r="S15" s="45"/>
      <c r="T15" s="45"/>
      <c r="U15" s="45"/>
      <c r="V15" s="45"/>
      <c r="W15" s="45"/>
      <c r="X15" s="45"/>
      <c r="Y15" s="45"/>
      <c r="Z15" s="45"/>
      <c r="AA15" s="45"/>
      <c r="AB15" s="45"/>
      <c r="AC15" s="45"/>
      <c r="AD15" s="45"/>
      <c r="AE15" s="45"/>
      <c r="AF15" s="45"/>
    </row>
    <row r="16" spans="1:32" s="46" customFormat="1" ht="71.25" customHeight="1" x14ac:dyDescent="0.25">
      <c r="A16" s="95" t="str">
        <f>1&amp;E16</f>
        <v>1a</v>
      </c>
      <c r="B16" s="250" t="s">
        <v>31</v>
      </c>
      <c r="C16" s="260" t="s">
        <v>32</v>
      </c>
      <c r="D16" s="247" t="s">
        <v>33</v>
      </c>
      <c r="E16" s="75" t="s">
        <v>34</v>
      </c>
      <c r="F16" s="76" t="s">
        <v>35</v>
      </c>
      <c r="G16" s="103" t="s">
        <v>76</v>
      </c>
      <c r="H16" s="104" t="s">
        <v>191</v>
      </c>
      <c r="I16" s="96" t="str">
        <f>+IF(G16="Si","Mantenimiento del control",IF(G16="En proceso","Oportunidad de mejora","Deficiencia de control"))</f>
        <v>Oportunidad de mejora</v>
      </c>
      <c r="J16" s="97">
        <f t="shared" ref="J16:J27" si="0">+IF(G16="Si",20,IF(G16="En proceso",10,0))</f>
        <v>10</v>
      </c>
      <c r="K16" s="97">
        <v>0.123</v>
      </c>
      <c r="L16" s="97">
        <f>+J16+K16</f>
        <v>10.122999999999999</v>
      </c>
    </row>
    <row r="17" spans="1:32" s="46" customFormat="1" ht="63" x14ac:dyDescent="0.25">
      <c r="A17" s="95" t="str">
        <f t="shared" ref="A17:A27" si="1">1&amp;E17</f>
        <v>1b</v>
      </c>
      <c r="B17" s="251"/>
      <c r="C17" s="261"/>
      <c r="D17" s="248"/>
      <c r="E17" s="77" t="s">
        <v>37</v>
      </c>
      <c r="F17" s="78" t="s">
        <v>38</v>
      </c>
      <c r="G17" s="105" t="s">
        <v>39</v>
      </c>
      <c r="H17" s="106" t="s">
        <v>192</v>
      </c>
      <c r="I17" s="98" t="str">
        <f t="shared" ref="I17:I59" si="2">+IF(G17="Si","Mantenimiento del control",IF(G17="En proceso","Oportunidad de mejora","Deficiencia de control"))</f>
        <v>Mantenimiento del control</v>
      </c>
      <c r="J17" s="99">
        <f t="shared" si="0"/>
        <v>20</v>
      </c>
      <c r="K17" s="97">
        <v>0.1234</v>
      </c>
      <c r="L17" s="97">
        <f t="shared" ref="L17:L59" si="3">+J17+K17</f>
        <v>20.1234</v>
      </c>
    </row>
    <row r="18" spans="1:32" s="46" customFormat="1" ht="64.5" customHeight="1" x14ac:dyDescent="0.25">
      <c r="A18" s="95" t="str">
        <f t="shared" si="1"/>
        <v>1c</v>
      </c>
      <c r="B18" s="251"/>
      <c r="C18" s="261"/>
      <c r="D18" s="248"/>
      <c r="E18" s="77" t="s">
        <v>40</v>
      </c>
      <c r="F18" s="79" t="s">
        <v>41</v>
      </c>
      <c r="G18" s="105" t="s">
        <v>39</v>
      </c>
      <c r="H18" s="107" t="s">
        <v>193</v>
      </c>
      <c r="I18" s="100" t="str">
        <f t="shared" si="2"/>
        <v>Mantenimiento del control</v>
      </c>
      <c r="J18" s="99">
        <f t="shared" si="0"/>
        <v>20</v>
      </c>
      <c r="K18" s="97">
        <v>0.12345</v>
      </c>
      <c r="L18" s="97">
        <f t="shared" si="3"/>
        <v>20.123449999999998</v>
      </c>
    </row>
    <row r="19" spans="1:32" s="46" customFormat="1" ht="49.5" customHeight="1" x14ac:dyDescent="0.25">
      <c r="A19" s="95" t="str">
        <f t="shared" si="1"/>
        <v>1d</v>
      </c>
      <c r="B19" s="251"/>
      <c r="C19" s="261"/>
      <c r="D19" s="248"/>
      <c r="E19" s="77" t="s">
        <v>42</v>
      </c>
      <c r="F19" s="79" t="s">
        <v>43</v>
      </c>
      <c r="G19" s="105" t="s">
        <v>76</v>
      </c>
      <c r="H19" s="107" t="s">
        <v>194</v>
      </c>
      <c r="I19" s="100" t="str">
        <f t="shared" si="2"/>
        <v>Oportunidad de mejora</v>
      </c>
      <c r="J19" s="99">
        <f t="shared" si="0"/>
        <v>10</v>
      </c>
      <c r="K19" s="97">
        <v>0.123456</v>
      </c>
      <c r="L19" s="97">
        <f t="shared" si="3"/>
        <v>10.123455999999999</v>
      </c>
    </row>
    <row r="20" spans="1:32" s="46" customFormat="1" ht="37.5" customHeight="1" x14ac:dyDescent="0.25">
      <c r="A20" s="95" t="str">
        <f t="shared" si="1"/>
        <v>1e</v>
      </c>
      <c r="B20" s="251"/>
      <c r="C20" s="261"/>
      <c r="D20" s="248"/>
      <c r="E20" s="77" t="s">
        <v>44</v>
      </c>
      <c r="F20" s="79" t="s">
        <v>45</v>
      </c>
      <c r="G20" s="105" t="s">
        <v>76</v>
      </c>
      <c r="H20" s="107" t="s">
        <v>195</v>
      </c>
      <c r="I20" s="100" t="str">
        <f t="shared" si="2"/>
        <v>Oportunidad de mejora</v>
      </c>
      <c r="J20" s="99">
        <f t="shared" si="0"/>
        <v>10</v>
      </c>
      <c r="K20" s="97">
        <v>0.12345678</v>
      </c>
      <c r="L20" s="97">
        <f t="shared" si="3"/>
        <v>10.12345678</v>
      </c>
    </row>
    <row r="21" spans="1:32" s="46" customFormat="1" ht="63.75" customHeight="1" x14ac:dyDescent="0.25">
      <c r="A21" s="95" t="str">
        <f t="shared" si="1"/>
        <v>1f</v>
      </c>
      <c r="B21" s="251"/>
      <c r="C21" s="261"/>
      <c r="D21" s="248"/>
      <c r="E21" s="77" t="s">
        <v>46</v>
      </c>
      <c r="F21" s="79" t="s">
        <v>47</v>
      </c>
      <c r="G21" s="105" t="s">
        <v>76</v>
      </c>
      <c r="H21" s="107" t="s">
        <v>196</v>
      </c>
      <c r="I21" s="100" t="str">
        <f t="shared" si="2"/>
        <v>Oportunidad de mejora</v>
      </c>
      <c r="J21" s="99">
        <f t="shared" si="0"/>
        <v>10</v>
      </c>
      <c r="K21" s="97">
        <v>0.123456789</v>
      </c>
      <c r="L21" s="97">
        <f t="shared" si="3"/>
        <v>10.123456789</v>
      </c>
    </row>
    <row r="22" spans="1:32" s="46" customFormat="1" ht="65.25" customHeight="1" x14ac:dyDescent="0.25">
      <c r="A22" s="95" t="str">
        <f t="shared" si="1"/>
        <v>1g</v>
      </c>
      <c r="B22" s="251"/>
      <c r="C22" s="261"/>
      <c r="D22" s="248"/>
      <c r="E22" s="77" t="s">
        <v>48</v>
      </c>
      <c r="F22" s="79" t="s">
        <v>49</v>
      </c>
      <c r="G22" s="105" t="s">
        <v>39</v>
      </c>
      <c r="H22" s="107" t="s">
        <v>197</v>
      </c>
      <c r="I22" s="100" t="str">
        <f t="shared" si="2"/>
        <v>Mantenimiento del control</v>
      </c>
      <c r="J22" s="99">
        <f t="shared" si="0"/>
        <v>20</v>
      </c>
      <c r="K22" s="97">
        <v>0.12345678910000001</v>
      </c>
      <c r="L22" s="97">
        <f t="shared" si="3"/>
        <v>20.1234567891</v>
      </c>
    </row>
    <row r="23" spans="1:32" s="46" customFormat="1" ht="62.25" customHeight="1" x14ac:dyDescent="0.25">
      <c r="A23" s="95" t="str">
        <f t="shared" si="1"/>
        <v>1h</v>
      </c>
      <c r="B23" s="251"/>
      <c r="C23" s="261"/>
      <c r="D23" s="248"/>
      <c r="E23" s="77" t="s">
        <v>50</v>
      </c>
      <c r="F23" s="79" t="s">
        <v>51</v>
      </c>
      <c r="G23" s="105" t="s">
        <v>76</v>
      </c>
      <c r="H23" s="107" t="s">
        <v>198</v>
      </c>
      <c r="I23" s="100" t="str">
        <f t="shared" si="2"/>
        <v>Oportunidad de mejora</v>
      </c>
      <c r="J23" s="99">
        <f t="shared" si="0"/>
        <v>10</v>
      </c>
      <c r="K23" s="97">
        <v>0.12345678911999999</v>
      </c>
      <c r="L23" s="97">
        <f t="shared" si="3"/>
        <v>10.12345678912</v>
      </c>
    </row>
    <row r="24" spans="1:32" s="46" customFormat="1" ht="57.75" customHeight="1" x14ac:dyDescent="0.25">
      <c r="A24" s="95" t="str">
        <f t="shared" si="1"/>
        <v>1i</v>
      </c>
      <c r="B24" s="251"/>
      <c r="C24" s="261"/>
      <c r="D24" s="248"/>
      <c r="E24" s="77" t="s">
        <v>52</v>
      </c>
      <c r="F24" s="79" t="s">
        <v>53</v>
      </c>
      <c r="G24" s="105" t="s">
        <v>36</v>
      </c>
      <c r="H24" s="107" t="s">
        <v>199</v>
      </c>
      <c r="I24" s="100" t="str">
        <f t="shared" si="2"/>
        <v>Deficiencia de control</v>
      </c>
      <c r="J24" s="99">
        <f t="shared" si="0"/>
        <v>0</v>
      </c>
      <c r="K24" s="97">
        <v>0.123456789123</v>
      </c>
      <c r="L24" s="97">
        <f t="shared" si="3"/>
        <v>0.123456789123</v>
      </c>
    </row>
    <row r="25" spans="1:32" s="46" customFormat="1" ht="52.5" customHeight="1" x14ac:dyDescent="0.25">
      <c r="A25" s="95" t="str">
        <f t="shared" si="1"/>
        <v>1j</v>
      </c>
      <c r="B25" s="251"/>
      <c r="C25" s="261"/>
      <c r="D25" s="248"/>
      <c r="E25" s="77" t="s">
        <v>54</v>
      </c>
      <c r="F25" s="79" t="s">
        <v>55</v>
      </c>
      <c r="G25" s="105" t="s">
        <v>39</v>
      </c>
      <c r="H25" s="107" t="s">
        <v>200</v>
      </c>
      <c r="I25" s="100" t="str">
        <f t="shared" si="2"/>
        <v>Mantenimiento del control</v>
      </c>
      <c r="J25" s="99">
        <f t="shared" si="0"/>
        <v>20</v>
      </c>
      <c r="K25" s="97">
        <v>0.1234567891234</v>
      </c>
      <c r="L25" s="97">
        <f t="shared" si="3"/>
        <v>20.123456789123399</v>
      </c>
    </row>
    <row r="26" spans="1:32" s="46" customFormat="1" ht="42" customHeight="1" x14ac:dyDescent="0.25">
      <c r="A26" s="95" t="str">
        <f t="shared" si="1"/>
        <v>1k</v>
      </c>
      <c r="B26" s="251"/>
      <c r="C26" s="261"/>
      <c r="D26" s="248"/>
      <c r="E26" s="77" t="s">
        <v>56</v>
      </c>
      <c r="F26" s="79" t="s">
        <v>57</v>
      </c>
      <c r="G26" s="105" t="s">
        <v>36</v>
      </c>
      <c r="H26" s="107" t="s">
        <v>201</v>
      </c>
      <c r="I26" s="100" t="str">
        <f t="shared" si="2"/>
        <v>Deficiencia de control</v>
      </c>
      <c r="J26" s="99">
        <f t="shared" si="0"/>
        <v>0</v>
      </c>
      <c r="K26" s="97">
        <v>0.12345678912345</v>
      </c>
      <c r="L26" s="97">
        <f t="shared" si="3"/>
        <v>0.12345678912345</v>
      </c>
    </row>
    <row r="27" spans="1:32" s="46" customFormat="1" ht="33.75" thickBot="1" x14ac:dyDescent="0.3">
      <c r="A27" s="95" t="str">
        <f t="shared" si="1"/>
        <v>1l</v>
      </c>
      <c r="B27" s="252"/>
      <c r="C27" s="262"/>
      <c r="D27" s="249"/>
      <c r="E27" s="80" t="s">
        <v>58</v>
      </c>
      <c r="F27" s="81" t="s">
        <v>59</v>
      </c>
      <c r="G27" s="108" t="s">
        <v>39</v>
      </c>
      <c r="H27" s="109" t="s">
        <v>202</v>
      </c>
      <c r="I27" s="101" t="str">
        <f t="shared" si="2"/>
        <v>Mantenimiento del control</v>
      </c>
      <c r="J27" s="99">
        <f t="shared" si="0"/>
        <v>20</v>
      </c>
      <c r="K27" s="97">
        <v>0.12345678912345601</v>
      </c>
      <c r="L27" s="97">
        <f t="shared" si="3"/>
        <v>20.123456789123455</v>
      </c>
    </row>
    <row r="28" spans="1:32" s="46" customFormat="1" ht="44.25" customHeight="1" x14ac:dyDescent="0.25">
      <c r="A28" s="95" t="str">
        <f>2&amp;E28</f>
        <v>2a</v>
      </c>
      <c r="B28" s="253" t="s">
        <v>60</v>
      </c>
      <c r="C28" s="263" t="s">
        <v>61</v>
      </c>
      <c r="D28" s="256" t="s">
        <v>62</v>
      </c>
      <c r="E28" s="75" t="s">
        <v>34</v>
      </c>
      <c r="F28" s="76" t="s">
        <v>63</v>
      </c>
      <c r="G28" s="103" t="s">
        <v>36</v>
      </c>
      <c r="H28" s="104" t="s">
        <v>203</v>
      </c>
      <c r="I28" s="96" t="str">
        <f t="shared" si="2"/>
        <v>Deficiencia de control</v>
      </c>
      <c r="J28" s="97">
        <f>+IF(G28="Si",40,IF(G28="En proceso",30,20))</f>
        <v>20</v>
      </c>
      <c r="K28" s="97">
        <v>0.23</v>
      </c>
      <c r="L28" s="97">
        <f t="shared" si="3"/>
        <v>20.23</v>
      </c>
    </row>
    <row r="29" spans="1:32" s="46" customFormat="1" ht="63" x14ac:dyDescent="0.25">
      <c r="A29" s="95" t="str">
        <f t="shared" ref="A29:A31" si="4">2&amp;E29</f>
        <v>2b</v>
      </c>
      <c r="B29" s="254"/>
      <c r="C29" s="264"/>
      <c r="D29" s="257"/>
      <c r="E29" s="77" t="s">
        <v>37</v>
      </c>
      <c r="F29" s="79" t="s">
        <v>64</v>
      </c>
      <c r="G29" s="105" t="s">
        <v>36</v>
      </c>
      <c r="H29" s="107" t="s">
        <v>204</v>
      </c>
      <c r="I29" s="100" t="str">
        <f t="shared" si="2"/>
        <v>Deficiencia de control</v>
      </c>
      <c r="J29" s="97">
        <f>+IF(G29="Si",40,IF(G29="En proceso",30,20))</f>
        <v>20</v>
      </c>
      <c r="K29" s="97">
        <v>0.23400000000000001</v>
      </c>
      <c r="L29" s="97">
        <f t="shared" si="3"/>
        <v>20.234000000000002</v>
      </c>
    </row>
    <row r="30" spans="1:32" s="46" customFormat="1" ht="49.5" x14ac:dyDescent="0.25">
      <c r="A30" s="95" t="str">
        <f t="shared" si="4"/>
        <v>2c</v>
      </c>
      <c r="B30" s="254"/>
      <c r="C30" s="264"/>
      <c r="D30" s="257"/>
      <c r="E30" s="77" t="s">
        <v>40</v>
      </c>
      <c r="F30" s="79" t="s">
        <v>65</v>
      </c>
      <c r="G30" s="105" t="s">
        <v>39</v>
      </c>
      <c r="H30" s="107" t="s">
        <v>205</v>
      </c>
      <c r="I30" s="100" t="str">
        <f t="shared" si="2"/>
        <v>Mantenimiento del control</v>
      </c>
      <c r="J30" s="97">
        <f>+IF(G30="Si",40,IF(G30="En proceso",30,20))</f>
        <v>40</v>
      </c>
      <c r="K30" s="97">
        <v>0.23449999999999999</v>
      </c>
      <c r="L30" s="97">
        <f t="shared" si="3"/>
        <v>40.234499999999997</v>
      </c>
    </row>
    <row r="31" spans="1:32" s="46" customFormat="1" ht="63.75" thickBot="1" x14ac:dyDescent="0.3">
      <c r="A31" s="95" t="str">
        <f t="shared" si="4"/>
        <v>2d</v>
      </c>
      <c r="B31" s="255"/>
      <c r="C31" s="265"/>
      <c r="D31" s="258"/>
      <c r="E31" s="80" t="s">
        <v>42</v>
      </c>
      <c r="F31" s="81" t="s">
        <v>66</v>
      </c>
      <c r="G31" s="108" t="s">
        <v>36</v>
      </c>
      <c r="H31" s="109" t="s">
        <v>206</v>
      </c>
      <c r="I31" s="101" t="str">
        <f t="shared" si="2"/>
        <v>Deficiencia de control</v>
      </c>
      <c r="J31" s="97">
        <f>+IF(G31="Si",40,IF(G31="En proceso",30,20))</f>
        <v>20</v>
      </c>
      <c r="K31" s="97">
        <v>0.23455999999999999</v>
      </c>
      <c r="L31" s="97">
        <f t="shared" si="3"/>
        <v>20.234559999999998</v>
      </c>
    </row>
    <row r="32" spans="1:32" s="46" customFormat="1" ht="49.5" customHeight="1" x14ac:dyDescent="0.25">
      <c r="A32" s="95" t="str">
        <f>3&amp;E32</f>
        <v>3a</v>
      </c>
      <c r="B32" s="275" t="s">
        <v>67</v>
      </c>
      <c r="C32" s="275" t="s">
        <v>61</v>
      </c>
      <c r="D32" s="276" t="s">
        <v>68</v>
      </c>
      <c r="E32" s="77" t="s">
        <v>34</v>
      </c>
      <c r="F32" s="79" t="s">
        <v>69</v>
      </c>
      <c r="G32" s="105" t="s">
        <v>76</v>
      </c>
      <c r="H32" s="107" t="s">
        <v>208</v>
      </c>
      <c r="I32" s="100" t="str">
        <f t="shared" si="2"/>
        <v>Oportunidad de mejora</v>
      </c>
      <c r="J32" s="97">
        <f t="shared" ref="J32:J37" si="5">+IF(G32="Si",40,IF(G32="En proceso",30,20))</f>
        <v>30</v>
      </c>
      <c r="K32" s="102">
        <v>0.234567</v>
      </c>
      <c r="L32" s="97">
        <f t="shared" ref="L32:L37" si="6">+J32+K32</f>
        <v>30.234566999999998</v>
      </c>
      <c r="M32" s="45"/>
      <c r="N32" s="45"/>
      <c r="O32" s="45"/>
      <c r="P32" s="45"/>
      <c r="Q32" s="45"/>
      <c r="R32" s="45"/>
      <c r="S32" s="45"/>
      <c r="T32" s="45"/>
      <c r="U32" s="45"/>
      <c r="V32" s="45"/>
      <c r="W32" s="45"/>
      <c r="X32" s="45"/>
      <c r="Y32" s="45"/>
      <c r="Z32" s="45"/>
      <c r="AA32" s="45"/>
      <c r="AB32" s="45"/>
      <c r="AC32" s="45"/>
      <c r="AD32" s="45"/>
      <c r="AE32" s="45"/>
      <c r="AF32" s="45"/>
    </row>
    <row r="33" spans="1:32" s="46" customFormat="1" ht="49.5" customHeight="1" x14ac:dyDescent="0.25">
      <c r="A33" s="95" t="str">
        <f t="shared" ref="A33:A34" si="7">3&amp;E33</f>
        <v>3b</v>
      </c>
      <c r="B33" s="275"/>
      <c r="C33" s="275"/>
      <c r="D33" s="276"/>
      <c r="E33" s="77" t="s">
        <v>37</v>
      </c>
      <c r="F33" s="79" t="s">
        <v>70</v>
      </c>
      <c r="G33" s="105" t="s">
        <v>76</v>
      </c>
      <c r="H33" s="107" t="s">
        <v>208</v>
      </c>
      <c r="I33" s="100" t="str">
        <f t="shared" si="2"/>
        <v>Oportunidad de mejora</v>
      </c>
      <c r="J33" s="97">
        <f t="shared" si="5"/>
        <v>30</v>
      </c>
      <c r="K33" s="102">
        <v>0.23456779999999999</v>
      </c>
      <c r="L33" s="97">
        <f t="shared" si="6"/>
        <v>30.234567800000001</v>
      </c>
      <c r="M33" s="45"/>
      <c r="N33" s="45"/>
      <c r="O33" s="45"/>
      <c r="P33" s="45"/>
      <c r="Q33" s="45"/>
      <c r="R33" s="45"/>
      <c r="S33" s="45"/>
      <c r="T33" s="45"/>
      <c r="U33" s="45"/>
      <c r="V33" s="45"/>
      <c r="W33" s="45"/>
      <c r="X33" s="45"/>
      <c r="Y33" s="45"/>
      <c r="Z33" s="45"/>
      <c r="AA33" s="45"/>
      <c r="AB33" s="45"/>
      <c r="AC33" s="45"/>
      <c r="AD33" s="45"/>
      <c r="AE33" s="45"/>
      <c r="AF33" s="45"/>
    </row>
    <row r="34" spans="1:32" s="46" customFormat="1" ht="66" customHeight="1" thickBot="1" x14ac:dyDescent="0.3">
      <c r="A34" s="95" t="str">
        <f t="shared" si="7"/>
        <v>3c</v>
      </c>
      <c r="B34" s="275"/>
      <c r="C34" s="275"/>
      <c r="D34" s="276"/>
      <c r="E34" s="77" t="s">
        <v>40</v>
      </c>
      <c r="F34" s="79" t="s">
        <v>71</v>
      </c>
      <c r="G34" s="105" t="s">
        <v>36</v>
      </c>
      <c r="H34" s="107" t="s">
        <v>207</v>
      </c>
      <c r="I34" s="100" t="str">
        <f t="shared" si="2"/>
        <v>Deficiencia de control</v>
      </c>
      <c r="J34" s="97">
        <f t="shared" si="5"/>
        <v>20</v>
      </c>
      <c r="K34" s="102">
        <v>0.23456789</v>
      </c>
      <c r="L34" s="97">
        <f t="shared" si="6"/>
        <v>20.234567890000001</v>
      </c>
      <c r="M34" s="45"/>
      <c r="N34" s="45"/>
      <c r="O34" s="45"/>
      <c r="P34" s="45"/>
      <c r="Q34" s="45"/>
      <c r="R34" s="45"/>
      <c r="S34" s="45"/>
      <c r="T34" s="45"/>
      <c r="U34" s="45"/>
      <c r="V34" s="45"/>
      <c r="W34" s="45"/>
      <c r="X34" s="45"/>
      <c r="Y34" s="45"/>
      <c r="Z34" s="45"/>
      <c r="AA34" s="45"/>
      <c r="AB34" s="45"/>
      <c r="AC34" s="45"/>
      <c r="AD34" s="45"/>
      <c r="AE34" s="45"/>
      <c r="AF34" s="45"/>
    </row>
    <row r="35" spans="1:32" s="46" customFormat="1" ht="60.75" customHeight="1" x14ac:dyDescent="0.25">
      <c r="A35" s="95" t="str">
        <f>4&amp;E35</f>
        <v>4a</v>
      </c>
      <c r="B35" s="277" t="s">
        <v>72</v>
      </c>
      <c r="C35" s="264" t="s">
        <v>61</v>
      </c>
      <c r="D35" s="257" t="s">
        <v>73</v>
      </c>
      <c r="E35" s="75" t="s">
        <v>34</v>
      </c>
      <c r="F35" s="76" t="s">
        <v>74</v>
      </c>
      <c r="G35" s="103" t="s">
        <v>39</v>
      </c>
      <c r="H35" s="104" t="s">
        <v>209</v>
      </c>
      <c r="I35" s="96" t="str">
        <f t="shared" si="2"/>
        <v>Mantenimiento del control</v>
      </c>
      <c r="J35" s="97">
        <f t="shared" si="5"/>
        <v>40</v>
      </c>
      <c r="K35" s="102">
        <v>0.23456789119999999</v>
      </c>
      <c r="L35" s="97">
        <f t="shared" si="6"/>
        <v>40.234567891200001</v>
      </c>
      <c r="M35" s="45"/>
      <c r="N35" s="45"/>
      <c r="O35" s="45"/>
      <c r="P35" s="45"/>
      <c r="Q35" s="45"/>
    </row>
    <row r="36" spans="1:32" s="46" customFormat="1" ht="57.75" customHeight="1" x14ac:dyDescent="0.25">
      <c r="A36" s="95" t="str">
        <f t="shared" ref="A36:A37" si="8">4&amp;E36</f>
        <v>4b</v>
      </c>
      <c r="B36" s="277"/>
      <c r="C36" s="264"/>
      <c r="D36" s="257"/>
      <c r="E36" s="77" t="s">
        <v>37</v>
      </c>
      <c r="F36" s="79" t="s">
        <v>75</v>
      </c>
      <c r="G36" s="105" t="s">
        <v>76</v>
      </c>
      <c r="H36" s="107" t="s">
        <v>209</v>
      </c>
      <c r="I36" s="100" t="str">
        <f t="shared" si="2"/>
        <v>Oportunidad de mejora</v>
      </c>
      <c r="J36" s="97">
        <f t="shared" si="5"/>
        <v>30</v>
      </c>
      <c r="K36" s="102">
        <v>0.23456789122999999</v>
      </c>
      <c r="L36" s="97">
        <f t="shared" si="6"/>
        <v>30.23456789123</v>
      </c>
      <c r="M36" s="45"/>
      <c r="N36" s="45"/>
      <c r="O36" s="45"/>
      <c r="P36" s="45"/>
      <c r="Q36" s="45"/>
    </row>
    <row r="37" spans="1:32" s="46" customFormat="1" ht="49.5" customHeight="1" thickBot="1" x14ac:dyDescent="0.3">
      <c r="A37" s="95" t="str">
        <f t="shared" si="8"/>
        <v>4c</v>
      </c>
      <c r="B37" s="277"/>
      <c r="C37" s="264"/>
      <c r="D37" s="257"/>
      <c r="E37" s="77" t="s">
        <v>40</v>
      </c>
      <c r="F37" s="79" t="s">
        <v>77</v>
      </c>
      <c r="G37" s="105" t="s">
        <v>39</v>
      </c>
      <c r="H37" s="107" t="s">
        <v>210</v>
      </c>
      <c r="I37" s="100" t="str">
        <f t="shared" si="2"/>
        <v>Mantenimiento del control</v>
      </c>
      <c r="J37" s="97">
        <f t="shared" si="5"/>
        <v>40</v>
      </c>
      <c r="K37" s="102">
        <v>0.23456789123399999</v>
      </c>
      <c r="L37" s="97">
        <f t="shared" si="6"/>
        <v>40.234567891234001</v>
      </c>
      <c r="M37" s="45"/>
      <c r="N37" s="45"/>
      <c r="O37" s="45"/>
      <c r="P37" s="45"/>
      <c r="Q37" s="45"/>
    </row>
    <row r="38" spans="1:32" s="46" customFormat="1" ht="85.5" customHeight="1" x14ac:dyDescent="0.25">
      <c r="A38" s="95" t="str">
        <f>5&amp;E38</f>
        <v>5a</v>
      </c>
      <c r="B38" s="278" t="s">
        <v>78</v>
      </c>
      <c r="C38" s="266" t="s">
        <v>79</v>
      </c>
      <c r="D38" s="281" t="s">
        <v>80</v>
      </c>
      <c r="E38" s="75" t="s">
        <v>34</v>
      </c>
      <c r="F38" s="76" t="s">
        <v>81</v>
      </c>
      <c r="G38" s="103" t="s">
        <v>76</v>
      </c>
      <c r="H38" s="104" t="s">
        <v>211</v>
      </c>
      <c r="I38" s="96" t="str">
        <f t="shared" si="2"/>
        <v>Oportunidad de mejora</v>
      </c>
      <c r="J38" s="97">
        <f>+IF(G38="Si",60,IF(G38="En proceso",50,40))</f>
        <v>50</v>
      </c>
      <c r="K38" s="97">
        <v>0.31</v>
      </c>
      <c r="L38" s="97">
        <f t="shared" si="3"/>
        <v>50.31</v>
      </c>
    </row>
    <row r="39" spans="1:32" s="46" customFormat="1" ht="63" x14ac:dyDescent="0.25">
      <c r="A39" s="95" t="str">
        <f t="shared" ref="A39:A42" si="9">5&amp;E39</f>
        <v>5b</v>
      </c>
      <c r="B39" s="279"/>
      <c r="C39" s="267"/>
      <c r="D39" s="282"/>
      <c r="E39" s="77" t="s">
        <v>37</v>
      </c>
      <c r="F39" s="79" t="s">
        <v>82</v>
      </c>
      <c r="G39" s="105" t="s">
        <v>76</v>
      </c>
      <c r="H39" s="107" t="s">
        <v>212</v>
      </c>
      <c r="I39" s="100" t="str">
        <f t="shared" si="2"/>
        <v>Oportunidad de mejora</v>
      </c>
      <c r="J39" s="97">
        <f>+IF(G39="Si",60,IF(G39="En proceso",50,40))</f>
        <v>50</v>
      </c>
      <c r="K39" s="97">
        <v>0.32300000000000001</v>
      </c>
      <c r="L39" s="97">
        <f t="shared" si="3"/>
        <v>50.323</v>
      </c>
    </row>
    <row r="40" spans="1:32" s="46" customFormat="1" ht="47.25" x14ac:dyDescent="0.25">
      <c r="A40" s="95" t="str">
        <f t="shared" si="9"/>
        <v>5c</v>
      </c>
      <c r="B40" s="279"/>
      <c r="C40" s="267"/>
      <c r="D40" s="282"/>
      <c r="E40" s="77" t="s">
        <v>40</v>
      </c>
      <c r="F40" s="79" t="s">
        <v>83</v>
      </c>
      <c r="G40" s="105" t="s">
        <v>76</v>
      </c>
      <c r="H40" s="107" t="s">
        <v>212</v>
      </c>
      <c r="I40" s="100" t="str">
        <f t="shared" si="2"/>
        <v>Oportunidad de mejora</v>
      </c>
      <c r="J40" s="97">
        <f>+IF(G40="Si",60,IF(G40="En proceso",50,40))</f>
        <v>50</v>
      </c>
      <c r="K40" s="97">
        <v>0.32400000000000001</v>
      </c>
      <c r="L40" s="97">
        <f t="shared" si="3"/>
        <v>50.323999999999998</v>
      </c>
    </row>
    <row r="41" spans="1:32" s="46" customFormat="1" ht="94.5" x14ac:dyDescent="0.25">
      <c r="A41" s="95" t="str">
        <f t="shared" si="9"/>
        <v>5d</v>
      </c>
      <c r="B41" s="279"/>
      <c r="C41" s="267"/>
      <c r="D41" s="282"/>
      <c r="E41" s="77" t="s">
        <v>42</v>
      </c>
      <c r="F41" s="79" t="s">
        <v>84</v>
      </c>
      <c r="G41" s="105" t="s">
        <v>36</v>
      </c>
      <c r="H41" s="107" t="s">
        <v>213</v>
      </c>
      <c r="I41" s="100" t="str">
        <f t="shared" si="2"/>
        <v>Deficiencia de control</v>
      </c>
      <c r="J41" s="97">
        <f>+IF(G41="Si",60,IF(G41="En proceso",50,40))</f>
        <v>40</v>
      </c>
      <c r="K41" s="97">
        <v>0.32500000000000001</v>
      </c>
      <c r="L41" s="97">
        <f t="shared" si="3"/>
        <v>40.325000000000003</v>
      </c>
    </row>
    <row r="42" spans="1:32" s="46" customFormat="1" ht="48" thickBot="1" x14ac:dyDescent="0.3">
      <c r="A42" s="95" t="str">
        <f t="shared" si="9"/>
        <v>5e</v>
      </c>
      <c r="B42" s="280"/>
      <c r="C42" s="268"/>
      <c r="D42" s="283"/>
      <c r="E42" s="80" t="s">
        <v>44</v>
      </c>
      <c r="F42" s="81" t="s">
        <v>85</v>
      </c>
      <c r="G42" s="108" t="s">
        <v>39</v>
      </c>
      <c r="H42" s="109" t="s">
        <v>214</v>
      </c>
      <c r="I42" s="101" t="str">
        <f t="shared" si="2"/>
        <v>Mantenimiento del control</v>
      </c>
      <c r="J42" s="97">
        <f>+IF(G42="Si",60,IF(G42="En proceso",50,40))</f>
        <v>60</v>
      </c>
      <c r="K42" s="97">
        <v>0.32600000000000001</v>
      </c>
      <c r="L42" s="97">
        <f t="shared" si="3"/>
        <v>60.326000000000001</v>
      </c>
    </row>
    <row r="43" spans="1:32" s="46" customFormat="1" ht="40.5" customHeight="1" x14ac:dyDescent="0.25">
      <c r="A43" s="95" t="str">
        <f>6&amp;E43</f>
        <v>6a</v>
      </c>
      <c r="B43" s="238" t="s">
        <v>86</v>
      </c>
      <c r="C43" s="269" t="s">
        <v>87</v>
      </c>
      <c r="D43" s="235" t="s">
        <v>88</v>
      </c>
      <c r="E43" s="75" t="s">
        <v>34</v>
      </c>
      <c r="F43" s="76" t="s">
        <v>89</v>
      </c>
      <c r="G43" s="103" t="s">
        <v>39</v>
      </c>
      <c r="H43" s="104" t="s">
        <v>215</v>
      </c>
      <c r="I43" s="96" t="str">
        <f t="shared" si="2"/>
        <v>Mantenimiento del control</v>
      </c>
      <c r="J43" s="97">
        <f t="shared" ref="J43:J49" si="10">+IF(G43="Si",80,IF(G43="En proceso",70,60))</f>
        <v>80</v>
      </c>
      <c r="K43" s="97">
        <v>0.41199999999999998</v>
      </c>
      <c r="L43" s="97">
        <f t="shared" si="3"/>
        <v>80.412000000000006</v>
      </c>
    </row>
    <row r="44" spans="1:32" s="46" customFormat="1" ht="33" customHeight="1" x14ac:dyDescent="0.25">
      <c r="A44" s="95" t="str">
        <f t="shared" ref="A44:A49" si="11">6&amp;E44</f>
        <v>6b</v>
      </c>
      <c r="B44" s="239"/>
      <c r="C44" s="270"/>
      <c r="D44" s="236"/>
      <c r="E44" s="77" t="s">
        <v>37</v>
      </c>
      <c r="F44" s="79" t="s">
        <v>90</v>
      </c>
      <c r="G44" s="105" t="s">
        <v>39</v>
      </c>
      <c r="H44" s="107" t="s">
        <v>216</v>
      </c>
      <c r="I44" s="100" t="str">
        <f t="shared" si="2"/>
        <v>Mantenimiento del control</v>
      </c>
      <c r="J44" s="97">
        <f t="shared" si="10"/>
        <v>80</v>
      </c>
      <c r="K44" s="97">
        <v>0.4123</v>
      </c>
      <c r="L44" s="97">
        <f t="shared" si="3"/>
        <v>80.412300000000002</v>
      </c>
    </row>
    <row r="45" spans="1:32" s="46" customFormat="1" ht="47.25" x14ac:dyDescent="0.25">
      <c r="A45" s="95" t="str">
        <f t="shared" si="11"/>
        <v>6c</v>
      </c>
      <c r="B45" s="239"/>
      <c r="C45" s="270"/>
      <c r="D45" s="236"/>
      <c r="E45" s="77" t="s">
        <v>40</v>
      </c>
      <c r="F45" s="79" t="s">
        <v>91</v>
      </c>
      <c r="G45" s="105" t="s">
        <v>39</v>
      </c>
      <c r="H45" s="107" t="s">
        <v>216</v>
      </c>
      <c r="I45" s="100" t="str">
        <f t="shared" si="2"/>
        <v>Mantenimiento del control</v>
      </c>
      <c r="J45" s="97">
        <f t="shared" si="10"/>
        <v>80</v>
      </c>
      <c r="K45" s="97">
        <v>0.41233999999999998</v>
      </c>
      <c r="L45" s="97">
        <f t="shared" si="3"/>
        <v>80.41234</v>
      </c>
    </row>
    <row r="46" spans="1:32" s="46" customFormat="1" ht="49.5" x14ac:dyDescent="0.25">
      <c r="A46" s="95" t="str">
        <f t="shared" si="11"/>
        <v>6d</v>
      </c>
      <c r="B46" s="239"/>
      <c r="C46" s="270"/>
      <c r="D46" s="236"/>
      <c r="E46" s="77" t="s">
        <v>42</v>
      </c>
      <c r="F46" s="79" t="s">
        <v>92</v>
      </c>
      <c r="G46" s="105" t="s">
        <v>39</v>
      </c>
      <c r="H46" s="107" t="s">
        <v>217</v>
      </c>
      <c r="I46" s="100" t="str">
        <f t="shared" si="2"/>
        <v>Mantenimiento del control</v>
      </c>
      <c r="J46" s="97">
        <f t="shared" si="10"/>
        <v>80</v>
      </c>
      <c r="K46" s="97">
        <v>0.41234500000000002</v>
      </c>
      <c r="L46" s="97">
        <f t="shared" si="3"/>
        <v>80.412345000000002</v>
      </c>
    </row>
    <row r="47" spans="1:32" s="46" customFormat="1" ht="63" x14ac:dyDescent="0.25">
      <c r="A47" s="95" t="str">
        <f t="shared" si="11"/>
        <v>6e</v>
      </c>
      <c r="B47" s="239"/>
      <c r="C47" s="270"/>
      <c r="D47" s="236"/>
      <c r="E47" s="77" t="s">
        <v>44</v>
      </c>
      <c r="F47" s="79" t="s">
        <v>93</v>
      </c>
      <c r="G47" s="105" t="s">
        <v>39</v>
      </c>
      <c r="H47" s="107" t="s">
        <v>218</v>
      </c>
      <c r="I47" s="100" t="str">
        <f t="shared" si="2"/>
        <v>Mantenimiento del control</v>
      </c>
      <c r="J47" s="97">
        <f t="shared" si="10"/>
        <v>80</v>
      </c>
      <c r="K47" s="97">
        <v>0.41234559999999998</v>
      </c>
      <c r="L47" s="97">
        <f t="shared" si="3"/>
        <v>80.412345599999995</v>
      </c>
    </row>
    <row r="48" spans="1:32" s="46" customFormat="1" ht="63" x14ac:dyDescent="0.25">
      <c r="A48" s="95" t="str">
        <f t="shared" si="11"/>
        <v>6f</v>
      </c>
      <c r="B48" s="239"/>
      <c r="C48" s="270"/>
      <c r="D48" s="236"/>
      <c r="E48" s="77" t="s">
        <v>46</v>
      </c>
      <c r="F48" s="79" t="s">
        <v>94</v>
      </c>
      <c r="G48" s="105" t="s">
        <v>76</v>
      </c>
      <c r="H48" s="107" t="s">
        <v>219</v>
      </c>
      <c r="I48" s="100" t="str">
        <f t="shared" si="2"/>
        <v>Oportunidad de mejora</v>
      </c>
      <c r="J48" s="97">
        <f t="shared" si="10"/>
        <v>70</v>
      </c>
      <c r="K48" s="97">
        <v>0.41234567</v>
      </c>
      <c r="L48" s="97">
        <f t="shared" si="3"/>
        <v>70.412345669999993</v>
      </c>
    </row>
    <row r="49" spans="1:17" s="46" customFormat="1" ht="50.25" thickBot="1" x14ac:dyDescent="0.3">
      <c r="A49" s="95" t="str">
        <f t="shared" si="11"/>
        <v>6g</v>
      </c>
      <c r="B49" s="240"/>
      <c r="C49" s="271"/>
      <c r="D49" s="237"/>
      <c r="E49" s="80" t="s">
        <v>48</v>
      </c>
      <c r="F49" s="81" t="s">
        <v>95</v>
      </c>
      <c r="G49" s="108" t="s">
        <v>39</v>
      </c>
      <c r="H49" s="109" t="s">
        <v>220</v>
      </c>
      <c r="I49" s="101" t="str">
        <f t="shared" si="2"/>
        <v>Mantenimiento del control</v>
      </c>
      <c r="J49" s="97">
        <f t="shared" si="10"/>
        <v>80</v>
      </c>
      <c r="K49" s="97">
        <v>0.41234567799999999</v>
      </c>
      <c r="L49" s="97">
        <f t="shared" si="3"/>
        <v>80.412345677999994</v>
      </c>
    </row>
    <row r="50" spans="1:17" s="46" customFormat="1" ht="54.75" customHeight="1" x14ac:dyDescent="0.25">
      <c r="A50" s="95" t="str">
        <f>7&amp;E50</f>
        <v>7a</v>
      </c>
      <c r="B50" s="244" t="s">
        <v>96</v>
      </c>
      <c r="C50" s="272" t="s">
        <v>97</v>
      </c>
      <c r="D50" s="241" t="s">
        <v>98</v>
      </c>
      <c r="E50" s="75" t="s">
        <v>34</v>
      </c>
      <c r="F50" s="76" t="s">
        <v>99</v>
      </c>
      <c r="G50" s="103" t="s">
        <v>39</v>
      </c>
      <c r="H50" s="104" t="s">
        <v>221</v>
      </c>
      <c r="I50" s="96" t="str">
        <f t="shared" si="2"/>
        <v>Mantenimiento del control</v>
      </c>
      <c r="J50" s="97">
        <f>+IF(G50="Si",120,IF(G50="En proceso",100,80))</f>
        <v>120</v>
      </c>
      <c r="K50" s="97">
        <v>0.85099999999999998</v>
      </c>
      <c r="L50" s="97">
        <f t="shared" si="3"/>
        <v>120.851</v>
      </c>
    </row>
    <row r="51" spans="1:17" s="46" customFormat="1" ht="94.5" x14ac:dyDescent="0.25">
      <c r="A51" s="95" t="str">
        <f t="shared" ref="A51:A53" si="12">7&amp;E51</f>
        <v>7d</v>
      </c>
      <c r="B51" s="245"/>
      <c r="C51" s="273"/>
      <c r="D51" s="242"/>
      <c r="E51" s="77" t="s">
        <v>42</v>
      </c>
      <c r="F51" s="79" t="s">
        <v>100</v>
      </c>
      <c r="G51" s="105" t="s">
        <v>39</v>
      </c>
      <c r="H51" s="107" t="s">
        <v>222</v>
      </c>
      <c r="I51" s="100" t="str">
        <f t="shared" si="2"/>
        <v>Mantenimiento del control</v>
      </c>
      <c r="J51" s="97">
        <f t="shared" ref="J51:J59" si="13">+IF(G51="Si",120,IF(G51="En proceso",100,80))</f>
        <v>120</v>
      </c>
      <c r="K51" s="97">
        <v>0.85119999999999996</v>
      </c>
      <c r="L51" s="97">
        <f t="shared" si="3"/>
        <v>120.85120000000001</v>
      </c>
    </row>
    <row r="52" spans="1:17" s="46" customFormat="1" ht="49.5" x14ac:dyDescent="0.25">
      <c r="A52" s="95" t="str">
        <f t="shared" si="12"/>
        <v>7f</v>
      </c>
      <c r="B52" s="245"/>
      <c r="C52" s="273"/>
      <c r="D52" s="242"/>
      <c r="E52" s="77" t="s">
        <v>46</v>
      </c>
      <c r="F52" s="79" t="s">
        <v>101</v>
      </c>
      <c r="G52" s="105" t="s">
        <v>36</v>
      </c>
      <c r="H52" s="107" t="s">
        <v>223</v>
      </c>
      <c r="I52" s="100" t="str">
        <f t="shared" si="2"/>
        <v>Deficiencia de control</v>
      </c>
      <c r="J52" s="97">
        <f t="shared" si="13"/>
        <v>80</v>
      </c>
      <c r="K52" s="97">
        <v>0.85123000000000004</v>
      </c>
      <c r="L52" s="97">
        <f t="shared" si="3"/>
        <v>80.851230000000001</v>
      </c>
    </row>
    <row r="53" spans="1:17" s="46" customFormat="1" ht="48" thickBot="1" x14ac:dyDescent="0.3">
      <c r="A53" s="95" t="str">
        <f t="shared" si="12"/>
        <v>7g</v>
      </c>
      <c r="B53" s="246"/>
      <c r="C53" s="274"/>
      <c r="D53" s="243"/>
      <c r="E53" s="80" t="s">
        <v>48</v>
      </c>
      <c r="F53" s="81" t="s">
        <v>102</v>
      </c>
      <c r="G53" s="108" t="s">
        <v>36</v>
      </c>
      <c r="H53" s="109" t="s">
        <v>224</v>
      </c>
      <c r="I53" s="101" t="str">
        <f t="shared" si="2"/>
        <v>Deficiencia de control</v>
      </c>
      <c r="J53" s="97">
        <f t="shared" si="13"/>
        <v>80</v>
      </c>
      <c r="K53" s="97">
        <v>0.85123400000000005</v>
      </c>
      <c r="L53" s="97">
        <f t="shared" si="3"/>
        <v>80.851234000000005</v>
      </c>
    </row>
    <row r="54" spans="1:17" s="46" customFormat="1" ht="102.75" customHeight="1" thickBot="1" x14ac:dyDescent="0.3">
      <c r="A54" s="95" t="str">
        <f>8&amp;E54</f>
        <v>8h</v>
      </c>
      <c r="B54" s="150" t="s">
        <v>103</v>
      </c>
      <c r="C54" s="151" t="s">
        <v>97</v>
      </c>
      <c r="D54" s="70" t="s">
        <v>104</v>
      </c>
      <c r="E54" s="75" t="s">
        <v>50</v>
      </c>
      <c r="F54" s="76" t="s">
        <v>105</v>
      </c>
      <c r="G54" s="103" t="s">
        <v>36</v>
      </c>
      <c r="H54" s="104" t="s">
        <v>36</v>
      </c>
      <c r="I54" s="96" t="str">
        <f t="shared" si="2"/>
        <v>Deficiencia de control</v>
      </c>
      <c r="J54" s="97">
        <f t="shared" si="13"/>
        <v>80</v>
      </c>
      <c r="K54" s="97">
        <v>0.85123450000000001</v>
      </c>
      <c r="L54" s="97">
        <f t="shared" si="3"/>
        <v>80.851234500000004</v>
      </c>
    </row>
    <row r="55" spans="1:17" s="46" customFormat="1" ht="54.75" customHeight="1" x14ac:dyDescent="0.25">
      <c r="A55" s="95" t="str">
        <f>9&amp;E55</f>
        <v>9a</v>
      </c>
      <c r="B55" s="244" t="s">
        <v>106</v>
      </c>
      <c r="C55" s="272" t="s">
        <v>97</v>
      </c>
      <c r="D55" s="241" t="s">
        <v>107</v>
      </c>
      <c r="E55" s="75" t="s">
        <v>34</v>
      </c>
      <c r="F55" s="76" t="s">
        <v>108</v>
      </c>
      <c r="G55" s="103" t="s">
        <v>76</v>
      </c>
      <c r="H55" s="104" t="s">
        <v>225</v>
      </c>
      <c r="I55" s="96" t="str">
        <f t="shared" si="2"/>
        <v>Oportunidad de mejora</v>
      </c>
      <c r="J55" s="97">
        <f t="shared" si="13"/>
        <v>100</v>
      </c>
      <c r="K55" s="102">
        <v>0.85123455999999997</v>
      </c>
      <c r="L55" s="97">
        <f t="shared" si="3"/>
        <v>100.85123455999999</v>
      </c>
      <c r="M55" s="45"/>
      <c r="N55" s="45"/>
      <c r="O55" s="45"/>
      <c r="P55" s="45"/>
      <c r="Q55" s="45"/>
    </row>
    <row r="56" spans="1:17" s="46" customFormat="1" ht="72.75" customHeight="1" x14ac:dyDescent="0.25">
      <c r="A56" s="95" t="str">
        <f t="shared" ref="A56:A59" si="14">9&amp;E56</f>
        <v>9b</v>
      </c>
      <c r="B56" s="245"/>
      <c r="C56" s="273"/>
      <c r="D56" s="242"/>
      <c r="E56" s="77" t="s">
        <v>37</v>
      </c>
      <c r="F56" s="79" t="s">
        <v>109</v>
      </c>
      <c r="G56" s="105" t="s">
        <v>76</v>
      </c>
      <c r="H56" s="107" t="s">
        <v>226</v>
      </c>
      <c r="I56" s="100" t="str">
        <f t="shared" si="2"/>
        <v>Oportunidad de mejora</v>
      </c>
      <c r="J56" s="97">
        <f t="shared" si="13"/>
        <v>100</v>
      </c>
      <c r="K56" s="102">
        <v>0.851234567</v>
      </c>
      <c r="L56" s="97">
        <f t="shared" si="3"/>
        <v>100.85123456700001</v>
      </c>
      <c r="M56" s="45"/>
      <c r="N56" s="45"/>
      <c r="O56" s="45"/>
      <c r="P56" s="45"/>
      <c r="Q56" s="45"/>
    </row>
    <row r="57" spans="1:17" s="46" customFormat="1" ht="77.25" customHeight="1" x14ac:dyDescent="0.25">
      <c r="A57" s="95" t="str">
        <f t="shared" si="14"/>
        <v>9c</v>
      </c>
      <c r="B57" s="245"/>
      <c r="C57" s="273"/>
      <c r="D57" s="242"/>
      <c r="E57" s="77" t="s">
        <v>40</v>
      </c>
      <c r="F57" s="79" t="s">
        <v>110</v>
      </c>
      <c r="G57" s="105" t="s">
        <v>36</v>
      </c>
      <c r="H57" s="107" t="s">
        <v>227</v>
      </c>
      <c r="I57" s="100" t="str">
        <f t="shared" si="2"/>
        <v>Deficiencia de control</v>
      </c>
      <c r="J57" s="97">
        <f t="shared" si="13"/>
        <v>80</v>
      </c>
      <c r="K57" s="102">
        <v>0.85123456779999995</v>
      </c>
      <c r="L57" s="97">
        <f t="shared" si="3"/>
        <v>80.851234567800006</v>
      </c>
      <c r="M57" s="45"/>
      <c r="N57" s="45"/>
      <c r="O57" s="45"/>
      <c r="P57" s="45"/>
      <c r="Q57" s="45"/>
    </row>
    <row r="58" spans="1:17" s="46" customFormat="1" ht="77.25" customHeight="1" x14ac:dyDescent="0.25">
      <c r="A58" s="95" t="str">
        <f t="shared" si="14"/>
        <v>9d</v>
      </c>
      <c r="B58" s="245"/>
      <c r="C58" s="273"/>
      <c r="D58" s="242"/>
      <c r="E58" s="77" t="s">
        <v>42</v>
      </c>
      <c r="F58" s="79" t="s">
        <v>111</v>
      </c>
      <c r="G58" s="105" t="s">
        <v>36</v>
      </c>
      <c r="H58" s="107" t="s">
        <v>227</v>
      </c>
      <c r="I58" s="100" t="str">
        <f t="shared" si="2"/>
        <v>Deficiencia de control</v>
      </c>
      <c r="J58" s="97">
        <f t="shared" si="13"/>
        <v>80</v>
      </c>
      <c r="K58" s="102">
        <v>0.85123456788999996</v>
      </c>
      <c r="L58" s="97">
        <f t="shared" si="3"/>
        <v>80.851234567890003</v>
      </c>
      <c r="M58" s="45"/>
      <c r="N58" s="45"/>
      <c r="O58" s="45"/>
      <c r="P58" s="45"/>
      <c r="Q58" s="45"/>
    </row>
    <row r="59" spans="1:17" s="46" customFormat="1" ht="77.25" customHeight="1" thickBot="1" x14ac:dyDescent="0.3">
      <c r="A59" s="95" t="str">
        <f t="shared" si="14"/>
        <v>9e</v>
      </c>
      <c r="B59" s="246"/>
      <c r="C59" s="273"/>
      <c r="D59" s="259"/>
      <c r="E59" s="80" t="s">
        <v>44</v>
      </c>
      <c r="F59" s="81" t="s">
        <v>112</v>
      </c>
      <c r="G59" s="108" t="s">
        <v>76</v>
      </c>
      <c r="H59" s="109" t="s">
        <v>228</v>
      </c>
      <c r="I59" s="101" t="str">
        <f t="shared" si="2"/>
        <v>Oportunidad de mejora</v>
      </c>
      <c r="J59" s="97">
        <f t="shared" si="13"/>
        <v>100</v>
      </c>
      <c r="K59" s="102">
        <v>0.85123456789100005</v>
      </c>
      <c r="L59" s="97">
        <f t="shared" si="3"/>
        <v>100.851234567891</v>
      </c>
      <c r="M59" s="45"/>
      <c r="N59" s="45"/>
      <c r="O59" s="45"/>
      <c r="P59" s="45"/>
      <c r="Q59" s="45"/>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 ref="B14:I14"/>
    <mergeCell ref="D43:D49"/>
    <mergeCell ref="B43:B49"/>
    <mergeCell ref="D50:D53"/>
    <mergeCell ref="B50:B53"/>
    <mergeCell ref="D16:D27"/>
    <mergeCell ref="B16:B27"/>
    <mergeCell ref="B28:B31"/>
    <mergeCell ref="D28:D31"/>
  </mergeCells>
  <dataValidations count="2">
    <dataValidation type="list" allowBlank="1" showInputMessage="1" showErrorMessage="1" sqref="G55:G59 G16:G53" xr:uid="{00000000-0002-0000-0100-000000000000}">
      <formula1>"Si, No, En proceso"</formula1>
    </dataValidation>
    <dataValidation type="list" allowBlank="1" showInputMessage="1" showErrorMessage="1" sqref="G54" xr:uid="{00000000-0002-0000-0100-000001000000}">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4"/>
  <sheetViews>
    <sheetView zoomScale="80" zoomScaleNormal="80" workbookViewId="0">
      <selection activeCell="E10" sqref="E10:F10"/>
    </sheetView>
  </sheetViews>
  <sheetFormatPr baseColWidth="10" defaultColWidth="11.42578125" defaultRowHeight="15" x14ac:dyDescent="0.25"/>
  <cols>
    <col min="3" max="3" width="22.85546875" customWidth="1"/>
    <col min="4" max="4" width="22.5703125" customWidth="1"/>
    <col min="5" max="5" width="53.42578125" customWidth="1"/>
    <col min="7" max="7" width="28.28515625" customWidth="1"/>
    <col min="8" max="8" width="4.85546875" customWidth="1"/>
    <col min="9" max="9" width="15.28515625" customWidth="1"/>
    <col min="10" max="10" width="22.42578125" customWidth="1"/>
    <col min="11" max="29" width="11.42578125" style="1"/>
  </cols>
  <sheetData>
    <row r="1" spans="1:11" x14ac:dyDescent="0.25">
      <c r="A1" s="1"/>
      <c r="B1" s="1"/>
      <c r="C1" s="1"/>
      <c r="D1" s="1"/>
      <c r="E1" s="1"/>
      <c r="F1" s="1"/>
      <c r="G1" s="1"/>
      <c r="H1" s="1"/>
      <c r="I1" s="1"/>
      <c r="J1" s="1"/>
    </row>
    <row r="2" spans="1:11" s="1" customFormat="1" x14ac:dyDescent="0.25"/>
    <row r="3" spans="1:11" s="1" customFormat="1" x14ac:dyDescent="0.25"/>
    <row r="4" spans="1:11" x14ac:dyDescent="0.25">
      <c r="A4" s="1"/>
      <c r="B4" s="1"/>
      <c r="C4" s="1"/>
      <c r="D4" s="1"/>
      <c r="E4" s="1"/>
      <c r="F4" s="1"/>
      <c r="G4" s="1"/>
      <c r="H4" s="1"/>
      <c r="I4" s="1"/>
      <c r="J4" s="1"/>
    </row>
    <row r="5" spans="1:11" x14ac:dyDescent="0.25">
      <c r="A5" s="1"/>
      <c r="B5" s="1"/>
      <c r="C5" s="1"/>
      <c r="D5" s="1"/>
      <c r="E5" s="1"/>
      <c r="F5" s="1"/>
      <c r="G5" s="1"/>
      <c r="H5" s="1"/>
      <c r="I5" s="1"/>
      <c r="J5" s="1"/>
    </row>
    <row r="6" spans="1:11" ht="15.75" thickBot="1" x14ac:dyDescent="0.3">
      <c r="A6" s="1"/>
      <c r="B6" s="1"/>
      <c r="C6" s="1"/>
      <c r="D6" s="1"/>
      <c r="E6" s="1"/>
      <c r="F6" s="1"/>
      <c r="G6" s="1"/>
      <c r="H6" s="1"/>
      <c r="I6" s="1"/>
      <c r="J6" s="1"/>
    </row>
    <row r="7" spans="1:11" ht="26.25" thickBot="1" x14ac:dyDescent="0.3">
      <c r="A7" s="1"/>
      <c r="B7" s="1"/>
      <c r="C7" s="284" t="s">
        <v>113</v>
      </c>
      <c r="D7" s="285"/>
      <c r="E7" s="285"/>
      <c r="F7" s="285"/>
      <c r="G7" s="285"/>
      <c r="H7" s="285"/>
      <c r="I7" s="285"/>
      <c r="J7" s="285"/>
      <c r="K7" s="286"/>
    </row>
    <row r="8" spans="1:11" s="1" customFormat="1" ht="15.75" thickBot="1" x14ac:dyDescent="0.3">
      <c r="C8" s="36"/>
      <c r="D8" s="36"/>
      <c r="E8" s="37"/>
      <c r="F8" s="37"/>
      <c r="G8" s="37"/>
      <c r="H8" s="37"/>
      <c r="I8" s="47"/>
      <c r="J8" s="37"/>
      <c r="K8" s="37"/>
    </row>
    <row r="9" spans="1:11" ht="21" thickBot="1" x14ac:dyDescent="0.3">
      <c r="A9" s="1"/>
      <c r="B9" s="1"/>
      <c r="C9" s="193" t="s">
        <v>15</v>
      </c>
      <c r="D9" s="194"/>
      <c r="E9" s="194" t="s">
        <v>16</v>
      </c>
      <c r="F9" s="205"/>
      <c r="G9" s="37"/>
      <c r="H9" s="37"/>
      <c r="I9" s="47"/>
      <c r="J9" s="37"/>
      <c r="K9" s="37"/>
    </row>
    <row r="10" spans="1:11" ht="54" customHeight="1" x14ac:dyDescent="0.25">
      <c r="A10" s="1"/>
      <c r="B10" s="1"/>
      <c r="C10" s="206" t="s">
        <v>17</v>
      </c>
      <c r="D10" s="207"/>
      <c r="E10" s="208" t="s">
        <v>18</v>
      </c>
      <c r="F10" s="209"/>
      <c r="G10" s="38"/>
      <c r="H10" s="39">
        <v>1</v>
      </c>
      <c r="I10" s="47"/>
      <c r="J10" s="37"/>
      <c r="K10" s="37"/>
    </row>
    <row r="11" spans="1:11" ht="46.5" customHeight="1" x14ac:dyDescent="0.25">
      <c r="A11" s="1"/>
      <c r="B11" s="1"/>
      <c r="C11" s="195" t="s">
        <v>19</v>
      </c>
      <c r="D11" s="196"/>
      <c r="E11" s="197" t="s">
        <v>114</v>
      </c>
      <c r="F11" s="198"/>
      <c r="G11" s="40" t="s">
        <v>115</v>
      </c>
      <c r="H11" s="39">
        <v>0.75</v>
      </c>
      <c r="I11" s="47"/>
      <c r="J11" s="37"/>
      <c r="K11" s="37"/>
    </row>
    <row r="12" spans="1:11" ht="70.5" customHeight="1" thickBot="1" x14ac:dyDescent="0.3">
      <c r="A12" s="1"/>
      <c r="B12" s="1"/>
      <c r="C12" s="199" t="s">
        <v>21</v>
      </c>
      <c r="D12" s="200"/>
      <c r="E12" s="201" t="s">
        <v>116</v>
      </c>
      <c r="F12" s="202"/>
      <c r="G12" s="41"/>
      <c r="H12" s="39">
        <v>0.25</v>
      </c>
      <c r="I12" s="47"/>
      <c r="J12" s="37"/>
      <c r="K12" s="37"/>
    </row>
    <row r="13" spans="1:11" s="1" customFormat="1" x14ac:dyDescent="0.25"/>
    <row r="14" spans="1:11" s="1" customFormat="1" x14ac:dyDescent="0.25"/>
    <row r="15" spans="1:11" s="1" customFormat="1" x14ac:dyDescent="0.25"/>
    <row r="16" spans="1:11" s="1" customFormat="1" ht="15.75" thickBot="1" x14ac:dyDescent="0.3"/>
    <row r="17" spans="1:10" x14ac:dyDescent="0.25">
      <c r="A17" s="1"/>
      <c r="B17" s="1"/>
      <c r="C17" s="292" t="s">
        <v>117</v>
      </c>
      <c r="D17" s="294" t="s">
        <v>118</v>
      </c>
      <c r="E17" s="295"/>
      <c r="F17" s="296" t="s">
        <v>119</v>
      </c>
      <c r="G17" s="298" t="s">
        <v>120</v>
      </c>
      <c r="H17" s="35"/>
      <c r="I17" s="287" t="s">
        <v>121</v>
      </c>
      <c r="J17" s="287" t="s">
        <v>122</v>
      </c>
    </row>
    <row r="18" spans="1:10" ht="36" customHeight="1" thickBot="1" x14ac:dyDescent="0.3">
      <c r="A18" s="1"/>
      <c r="B18" s="1"/>
      <c r="C18" s="293"/>
      <c r="D18" s="110" t="s">
        <v>123</v>
      </c>
      <c r="E18" s="111" t="s">
        <v>27</v>
      </c>
      <c r="F18" s="297"/>
      <c r="G18" s="299"/>
      <c r="H18" s="35"/>
      <c r="I18" s="288"/>
      <c r="J18" s="288"/>
    </row>
    <row r="19" spans="1:10" ht="65.25" customHeight="1" x14ac:dyDescent="0.25">
      <c r="A19" s="1"/>
      <c r="B19" s="1"/>
      <c r="C19" s="129">
        <v>1</v>
      </c>
      <c r="D19" s="289" t="s">
        <v>32</v>
      </c>
      <c r="E19" s="112" t="str">
        <f>+IFERROR(INDEX(Hoja1!$E$2:$E$45,MATCH('Análisis Resultados'!C19,Hoja1!$H$2:$H$45,0)),"")</f>
        <v>Evaluación a los servidores públicos de acuerdo con el marco normativo que le rige</v>
      </c>
      <c r="F19" s="113" t="str">
        <f>+IFERROR(VLOOKUP(C19,Hoja1!$H$2:$I$45,2,0),"")</f>
        <v>No</v>
      </c>
      <c r="G19" s="114"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No se encuentra el aspecto  por lo tanto la entidad debera generar acciones dirigidas a que se cumpla con el requerimiento.</v>
      </c>
      <c r="I19" s="130">
        <f>+IF(F19="Si",1,IF(F19="En proceso",0.5,0))</f>
        <v>0</v>
      </c>
      <c r="J19" s="302">
        <f>+AVERAGE(I19:I30)</f>
        <v>0.625</v>
      </c>
    </row>
    <row r="20" spans="1:10" ht="45" x14ac:dyDescent="0.25">
      <c r="A20" s="1"/>
      <c r="B20" s="1"/>
      <c r="C20" s="129">
        <v>2</v>
      </c>
      <c r="D20" s="290"/>
      <c r="E20" s="115" t="str">
        <f>+IFERROR(INDEX(Hoja1!$E$2:$E$45,MATCH('Análisis Resultados'!C20,Hoja1!$H$2:$H$45,0)),"")</f>
        <v>Mecanismos de rendición de cuentas a la ciudadanía</v>
      </c>
      <c r="F20" s="116" t="str">
        <f>+IFERROR(VLOOKUP(C20,Hoja1!$H$2:$I$45,2,0),"")</f>
        <v>No</v>
      </c>
      <c r="G20" s="117"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No se encuentra el aspecto  por lo tanto la entidad debera generar acciones dirigidas a que se cumpla con el requerimiento.</v>
      </c>
      <c r="I20" s="131">
        <f t="shared" ref="I20:I62" si="1">+IF(F20="Si",1,IF(F20="En proceso",0.5,0))</f>
        <v>0</v>
      </c>
      <c r="J20" s="303"/>
    </row>
    <row r="21" spans="1:10" ht="33.75" x14ac:dyDescent="0.25">
      <c r="A21" s="1"/>
      <c r="B21" s="1"/>
      <c r="C21" s="129">
        <v>3</v>
      </c>
      <c r="D21" s="290"/>
      <c r="E21" s="115" t="str">
        <f>+IFERROR(INDEX(Hoja1!$E$2:$E$45,MATCH('Análisis Resultados'!C21,Hoja1!$H$2:$H$45,0)),"")</f>
        <v>Documento interno o adopción del MECI actualizado</v>
      </c>
      <c r="F21" s="116" t="str">
        <f>+IFERROR(VLOOKUP(C21,Hoja1!$H$2:$I$45,2,0),"")</f>
        <v>En proceso</v>
      </c>
      <c r="G21" s="117" t="str">
        <f t="shared" si="0"/>
        <v>Se encuentra en proceso, pero requiere continuar con acciones dirigidas a contar con dicho aspecto de control.</v>
      </c>
      <c r="I21" s="131">
        <f t="shared" si="1"/>
        <v>0.5</v>
      </c>
      <c r="J21" s="303"/>
    </row>
    <row r="22" spans="1:10" ht="56.25" customHeight="1" x14ac:dyDescent="0.25">
      <c r="A22" s="1"/>
      <c r="B22" s="1"/>
      <c r="C22" s="129">
        <v>4</v>
      </c>
      <c r="D22" s="290"/>
      <c r="E22" s="115" t="str">
        <f>+IFERROR(INDEX(Hoja1!$E$2:$E$45,MATCH('Análisis Resultados'!C22,Hoja1!$H$2:$H$45,0)),"")</f>
        <v>Una estructura organizacional formalizada (organigrama)</v>
      </c>
      <c r="F22" s="116" t="str">
        <f>+IFERROR(VLOOKUP(C22,Hoja1!$H$2:$I$45,2,0),"")</f>
        <v>En proceso</v>
      </c>
      <c r="G22" s="117" t="str">
        <f t="shared" si="0"/>
        <v>Se encuentra en proceso, pero requiere continuar con acciones dirigidas a contar con dicho aspecto de control.</v>
      </c>
      <c r="I22" s="131">
        <f t="shared" si="1"/>
        <v>0.5</v>
      </c>
      <c r="J22" s="303"/>
    </row>
    <row r="23" spans="1:10" ht="33.75" x14ac:dyDescent="0.25">
      <c r="A23" s="1"/>
      <c r="B23" s="1"/>
      <c r="C23" s="129">
        <v>5</v>
      </c>
      <c r="D23" s="290"/>
      <c r="E23" s="115" t="str">
        <f>+IFERROR(INDEX(Hoja1!$E$2:$E$45,MATCH('Análisis Resultados'!C23,Hoja1!$H$2:$H$45,0)),"")</f>
        <v>Un manual de funciones que describa los empleos de la entidad</v>
      </c>
      <c r="F23" s="116" t="str">
        <f>+IFERROR(VLOOKUP(C23,Hoja1!$H$2:$I$45,2,0),"")</f>
        <v>En proceso</v>
      </c>
      <c r="G23" s="117" t="str">
        <f t="shared" si="0"/>
        <v>Se encuentra en proceso, pero requiere continuar con acciones dirigidas a contar con dicho aspecto de control.</v>
      </c>
      <c r="I23" s="131">
        <f t="shared" si="1"/>
        <v>0.5</v>
      </c>
      <c r="J23" s="303"/>
    </row>
    <row r="24" spans="1:10" ht="33.75" x14ac:dyDescent="0.25">
      <c r="A24" s="1"/>
      <c r="B24" s="1"/>
      <c r="C24" s="129">
        <v>6</v>
      </c>
      <c r="D24" s="290"/>
      <c r="E24" s="115" t="str">
        <f>+IFERROR(INDEX(Hoja1!$E$2:$E$45,MATCH('Análisis Resultados'!C24,Hoja1!$H$2:$H$45,0)),"")</f>
        <v>La documentación de sus procesos y procedimientos o bien una lista de actividades principales que permitan conocer el estado de su gestión</v>
      </c>
      <c r="F24" s="116" t="str">
        <f>+IFERROR(VLOOKUP(C24,Hoja1!$H$2:$I$45,2,0),"")</f>
        <v>En proceso</v>
      </c>
      <c r="G24" s="117" t="str">
        <f t="shared" si="0"/>
        <v>Se encuentra en proceso, pero requiere continuar con acciones dirigidas a contar con dicho aspecto de control.</v>
      </c>
      <c r="I24" s="131">
        <f t="shared" si="1"/>
        <v>0.5</v>
      </c>
      <c r="J24" s="303"/>
    </row>
    <row r="25" spans="1:10" ht="42.75" x14ac:dyDescent="0.25">
      <c r="A25" s="1"/>
      <c r="B25" s="1"/>
      <c r="C25" s="129">
        <v>7</v>
      </c>
      <c r="D25" s="290"/>
      <c r="E25" s="115" t="str">
        <f>+IFERROR(INDEX(Hoja1!$E$2:$E$45,MATCH('Análisis Resultados'!C25,Hoja1!$H$2:$H$45,0)),"")</f>
        <v>Procesos de inducción, capacitación y bienestar social para sus servidores públicos, de manera directa o en asociación con otras entidades municipales</v>
      </c>
      <c r="F25" s="116" t="str">
        <f>+IFERROR(VLOOKUP(C25,Hoja1!$H$2:$I$45,2,0),"")</f>
        <v>En proceso</v>
      </c>
      <c r="G25" s="117" t="str">
        <f t="shared" si="0"/>
        <v>Se encuentra en proceso, pero requiere continuar con acciones dirigidas a contar con dicho aspecto de control.</v>
      </c>
      <c r="I25" s="131">
        <f t="shared" si="1"/>
        <v>0.5</v>
      </c>
      <c r="J25" s="303"/>
    </row>
    <row r="26" spans="1:10" ht="42.75" x14ac:dyDescent="0.25">
      <c r="A26" s="1"/>
      <c r="B26" s="1"/>
      <c r="C26" s="129">
        <v>8</v>
      </c>
      <c r="D26" s="290"/>
      <c r="E26" s="115" t="str">
        <f>+IFERROR(INDEX(Hoja1!$E$2:$E$45,MATCH('Análisis Resultados'!C26,Hoja1!$H$2:$H$45,0)),"")</f>
        <v>Un documento tal como un código de ética, integridad u otro que formalice los estándares de conducta, los principios institucionales o los valores del servicio público</v>
      </c>
      <c r="F26" s="116" t="str">
        <f>+IFERROR(VLOOKUP(C26,Hoja1!$H$2:$I$45,2,0),"")</f>
        <v>Si</v>
      </c>
      <c r="G26" s="117" t="str">
        <f t="shared" si="0"/>
        <v>Existe requerimiento pero se requiere actividades  dirigidas a su mantenimiento dentro del marco de las lineas de defensa.</v>
      </c>
      <c r="I26" s="131">
        <f t="shared" si="1"/>
        <v>1</v>
      </c>
      <c r="J26" s="303"/>
    </row>
    <row r="27" spans="1:10" ht="33.75" x14ac:dyDescent="0.25">
      <c r="A27" s="1"/>
      <c r="B27" s="1"/>
      <c r="C27" s="129">
        <v>9</v>
      </c>
      <c r="D27" s="290"/>
      <c r="E27" s="115" t="str">
        <f>+IFERROR(INDEX(Hoja1!$E$2:$E$45,MATCH('Análisis Resultados'!C27,Hoja1!$H$2:$H$45,0)),"")</f>
        <v>Planes, programas y proyectos de acuerdo con las normas que rigen y atendiendo con su propósito fundamental institucional (misión)</v>
      </c>
      <c r="F27" s="116" t="str">
        <f>+IFERROR(VLOOKUP(C27,Hoja1!$H$2:$I$45,2,0),"")</f>
        <v>Si</v>
      </c>
      <c r="G27" s="117" t="str">
        <f t="shared" si="0"/>
        <v>Existe requerimiento pero se requiere actividades  dirigidas a su mantenimiento dentro del marco de las lineas de defensa.</v>
      </c>
      <c r="I27" s="131">
        <f t="shared" si="1"/>
        <v>1</v>
      </c>
      <c r="J27" s="303"/>
    </row>
    <row r="28" spans="1:10" ht="45" x14ac:dyDescent="0.25">
      <c r="A28" s="1"/>
      <c r="B28" s="1"/>
      <c r="C28" s="129">
        <v>10</v>
      </c>
      <c r="D28" s="290"/>
      <c r="E28" s="115" t="str">
        <f>+IFERROR(INDEX(Hoja1!$E$2:$E$45,MATCH('Análisis Resultados'!C28,Hoja1!$H$2:$H$45,0)),"")</f>
        <v>Vinculación de los servidores públicos de acuerdo con el marco normativo que les rige (carrera administrativa, libre nombramiento y remoción, entre otros)</v>
      </c>
      <c r="F28" s="116" t="str">
        <f>+IFERROR(VLOOKUP(C28,Hoja1!$H$2:$I$45,2,0),"")</f>
        <v>Si</v>
      </c>
      <c r="G28" s="117" t="str">
        <f t="shared" si="0"/>
        <v>Existe requerimiento pero se requiere actividades  dirigidas a su mantenimiento dentro del marco de las lineas de defensa.</v>
      </c>
      <c r="I28" s="131">
        <f t="shared" si="1"/>
        <v>1</v>
      </c>
      <c r="J28" s="303"/>
    </row>
    <row r="29" spans="1:10" ht="45" x14ac:dyDescent="0.25">
      <c r="A29" s="1"/>
      <c r="B29" s="1"/>
      <c r="C29" s="129">
        <v>11</v>
      </c>
      <c r="D29" s="290"/>
      <c r="E29" s="115" t="str">
        <f>+IFERROR(INDEX(Hoja1!$E$2:$E$45,MATCH('Análisis Resultados'!C29,Hoja1!$H$2:$H$45,0)),"")</f>
        <v>Procesos de desvinculación de servidores de acuerdo con lo previsto en la Constitución Política y las leyes</v>
      </c>
      <c r="F29" s="116" t="str">
        <f>+IFERROR(VLOOKUP(C29,Hoja1!$H$2:$I$45,2,0),"")</f>
        <v>Si</v>
      </c>
      <c r="G29" s="117"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9" s="131">
        <f t="shared" si="1"/>
        <v>1</v>
      </c>
      <c r="J29" s="303"/>
    </row>
    <row r="30" spans="1:10" ht="45.75" thickBot="1" x14ac:dyDescent="0.3">
      <c r="A30" s="1"/>
      <c r="B30" s="1"/>
      <c r="C30" s="129">
        <v>12</v>
      </c>
      <c r="D30" s="291"/>
      <c r="E30" s="118" t="str">
        <f>+IFERROR(INDEX(Hoja1!$E$2:$E$45,MATCH('Análisis Resultados'!C30,Hoja1!$H$2:$H$45,0)),"")</f>
        <v>Presentación oportuna de sus informes de gestión a las autoridades competentes</v>
      </c>
      <c r="F30" s="119" t="str">
        <f>+IFERROR(VLOOKUP(C30,Hoja1!$H$2:$I$45,2,0),"")</f>
        <v>Si</v>
      </c>
      <c r="G30" s="120" t="str">
        <f t="shared" si="0"/>
        <v>Existe requerimiento pero se requiere actividades  dirigidas a su mantenimiento dentro del marco de las lineas de defensa.</v>
      </c>
      <c r="I30" s="132">
        <f t="shared" si="1"/>
        <v>1</v>
      </c>
      <c r="J30" s="304"/>
    </row>
    <row r="31" spans="1:10" ht="45" customHeight="1" x14ac:dyDescent="0.25">
      <c r="A31" s="1"/>
      <c r="B31" s="1"/>
      <c r="C31" s="129">
        <v>13</v>
      </c>
      <c r="D31" s="316" t="s">
        <v>61</v>
      </c>
      <c r="E31" s="112" t="str">
        <f>+IFERROR(INDEX(Hoja1!$E$2:$E$45,MATCH('Análisis Resultados'!C31,Hoja1!$H$2:$H$45,0)),"")</f>
        <v>La identificación de cambios en su entorno que pueden generar consecuencias negativas en su gestión</v>
      </c>
      <c r="F31" s="113" t="str">
        <f>+IFERROR(VLOOKUP(C31,Hoja1!$H$2:$I$45,2,0),"")</f>
        <v>No</v>
      </c>
      <c r="G31" s="114" t="str">
        <f t="shared" si="0"/>
        <v>No se encuentra el aspecto  por lo tanto la entidad debera generar acciones dirigidas a que se cumpla con el requerimiento.</v>
      </c>
      <c r="I31" s="130">
        <f t="shared" si="1"/>
        <v>0</v>
      </c>
      <c r="J31" s="300">
        <f>+AVERAGE(I31:I40)</f>
        <v>0.45</v>
      </c>
    </row>
    <row r="32" spans="1:10" ht="57" customHeight="1" x14ac:dyDescent="0.25">
      <c r="A32" s="1"/>
      <c r="B32" s="1"/>
      <c r="C32" s="129">
        <v>14</v>
      </c>
      <c r="D32" s="317"/>
      <c r="E32" s="115" t="str">
        <f>+IFERROR(INDEX(Hoja1!$E$2:$E$45,MATCH('Análisis Resultados'!C32,Hoja1!$H$2:$H$45,0)),"")</f>
        <v>La identificación de aquellos problemas o aspectos que pueden afectar el cumplimiento de los planes de la entidad y en general su gestión institucional (riesgos)</v>
      </c>
      <c r="F32" s="116" t="str">
        <f>+IFERROR(VLOOKUP(C32,Hoja1!$H$2:$I$45,2,0),"")</f>
        <v>No</v>
      </c>
      <c r="G32" s="117" t="str">
        <f t="shared" si="0"/>
        <v>No se encuentra el aspecto  por lo tanto la entidad debera generar acciones dirigidas a que se cumpla con el requerimiento.</v>
      </c>
      <c r="I32" s="131">
        <f t="shared" si="1"/>
        <v>0</v>
      </c>
      <c r="J32" s="301"/>
    </row>
    <row r="33" spans="1:10" ht="54" customHeight="1" x14ac:dyDescent="0.25">
      <c r="A33" s="1"/>
      <c r="B33" s="1"/>
      <c r="C33" s="129">
        <v>15</v>
      </c>
      <c r="D33" s="317"/>
      <c r="E33" s="115" t="str">
        <f>+IFERROR(INDEX(Hoja1!$E$2:$E$45,MATCH('Análisis Resultados'!C33,Hoja1!$H$2:$H$45,0)),"")</f>
        <v>Si su capacidad e infraestructura lo permite, identificación de riesgos asociados a las tecnologías de la información y las comunicaciones</v>
      </c>
      <c r="F33" s="116" t="str">
        <f>+IFERROR(VLOOKUP(C33,Hoja1!$H$2:$I$45,2,0),"")</f>
        <v>No</v>
      </c>
      <c r="G33" s="117" t="str">
        <f t="shared" si="0"/>
        <v>No se encuentra el aspecto  por lo tanto la entidad debera generar acciones dirigidas a que se cumpla con el requerimiento.</v>
      </c>
      <c r="I33" s="131">
        <f t="shared" si="1"/>
        <v>0</v>
      </c>
      <c r="J33" s="301"/>
    </row>
    <row r="34" spans="1:10" ht="45" x14ac:dyDescent="0.25">
      <c r="A34" s="1"/>
      <c r="B34" s="1"/>
      <c r="C34" s="129">
        <v>16</v>
      </c>
      <c r="D34" s="317"/>
      <c r="E34" s="115" t="str">
        <f>+IFERROR(INDEX(Hoja1!$E$2:$E$45,MATCH('Análisis Resultados'!C34,Hoja1!$H$2:$H$45,0)),"")</f>
        <v>Identifican deficiencias en las maneras de  controlar los riesgos o problemas en sus procesos, programas o proyectos, y propone los ajustes necesarios</v>
      </c>
      <c r="F34" s="116" t="str">
        <f>+IFERROR(VLOOKUP(C34,Hoja1!$H$2:$I$45,2,0),"")</f>
        <v>No</v>
      </c>
      <c r="G34" s="117" t="str">
        <f t="shared" si="0"/>
        <v>No se encuentra el aspecto  por lo tanto la entidad debera generar acciones dirigidas a que se cumpla con el requerimiento.</v>
      </c>
      <c r="I34" s="131">
        <f t="shared" si="1"/>
        <v>0</v>
      </c>
      <c r="J34" s="301"/>
    </row>
    <row r="35" spans="1:10" ht="67.5" customHeight="1" x14ac:dyDescent="0.25">
      <c r="A35" s="1"/>
      <c r="B35" s="1"/>
      <c r="C35" s="129">
        <v>17</v>
      </c>
      <c r="D35" s="317"/>
      <c r="E35" s="115" t="str">
        <f>+IFERROR(INDEX(Hoja1!$E$2:$E$45,MATCH('Análisis Resultados'!C35,Hoja1!$H$2:$H$45,0)),"")</f>
        <v>Hacen seguimiento a los problemas (riesgos)  que pueden afectar el cumplimiento de sus procesos, programas o proyectos a cargo</v>
      </c>
      <c r="F35" s="116" t="str">
        <f>+IFERROR(VLOOKUP(C35,Hoja1!$H$2:$I$45,2,0),"")</f>
        <v>En proceso</v>
      </c>
      <c r="G35" s="117" t="str">
        <f t="shared" si="0"/>
        <v>Se encuentra en proceso, pero requiere continuar con acciones dirigidas a contar con dicho aspecto de control.</v>
      </c>
      <c r="I35" s="131">
        <f t="shared" si="1"/>
        <v>0.5</v>
      </c>
      <c r="J35" s="301"/>
    </row>
    <row r="36" spans="1:10" ht="45" x14ac:dyDescent="0.25">
      <c r="A36" s="1"/>
      <c r="B36" s="1"/>
      <c r="C36" s="129">
        <v>18</v>
      </c>
      <c r="D36" s="317"/>
      <c r="E36" s="115" t="str">
        <f>+IFERROR(INDEX(Hoja1!$E$2:$E$45,MATCH('Análisis Resultados'!C36,Hoja1!$H$2:$H$45,0)),"")</f>
        <v>Informan de manera periódica a quien corresponda sobre el desempeño de las actividades de gestión de riesgos</v>
      </c>
      <c r="F36" s="116" t="str">
        <f>+IFERROR(VLOOKUP(C36,Hoja1!$H$2:$I$45,2,0),"")</f>
        <v>En proceso</v>
      </c>
      <c r="G36" s="117" t="str">
        <f t="shared" si="0"/>
        <v>Se encuentra en proceso, pero requiere continuar con acciones dirigidas a contar con dicho aspecto de control.</v>
      </c>
      <c r="I36" s="131">
        <f t="shared" si="1"/>
        <v>0.5</v>
      </c>
      <c r="J36" s="301"/>
    </row>
    <row r="37" spans="1:10" ht="57" customHeight="1" x14ac:dyDescent="0.25">
      <c r="A37" s="1"/>
      <c r="B37" s="1"/>
      <c r="C37" s="129">
        <v>19</v>
      </c>
      <c r="D37" s="317"/>
      <c r="E37" s="115" t="str">
        <f>+IFERROR(INDEX(Hoja1!$E$2:$E$45,MATCH('Análisis Resultados'!C37,Hoja1!$H$2:$H$45,0)),"")</f>
        <v>Cada líder del equipo autónomamente toma las acciones para solucionarlos.</v>
      </c>
      <c r="F37" s="116" t="str">
        <f>+IFERROR(VLOOKUP(C37,Hoja1!$H$2:$I$45,2,0),"")</f>
        <v>En proceso</v>
      </c>
      <c r="G37" s="117" t="str">
        <f t="shared" si="0"/>
        <v>Se encuentra en proceso, pero requiere continuar con acciones dirigidas a contar con dicho aspecto de control.</v>
      </c>
      <c r="I37" s="131">
        <f t="shared" si="1"/>
        <v>0.5</v>
      </c>
      <c r="J37" s="301"/>
    </row>
    <row r="38" spans="1:10" ht="33.75" x14ac:dyDescent="0.25">
      <c r="A38" s="1"/>
      <c r="B38" s="1"/>
      <c r="C38" s="129">
        <v>20</v>
      </c>
      <c r="D38" s="317"/>
      <c r="E38" s="115" t="str">
        <f>+IFERROR(INDEX(Hoja1!$E$2:$E$45,MATCH('Análisis Resultados'!C38,Hoja1!$H$2:$H$45,0)),"")</f>
        <v>La identificación  de los riesgos relacionados con posibles actos de corrupción en el ejercicio de sus funciones</v>
      </c>
      <c r="F38" s="116" t="str">
        <f>+IFERROR(VLOOKUP(C38,Hoja1!$H$2:$I$45,2,0),"")</f>
        <v>Si</v>
      </c>
      <c r="G38" s="117" t="str">
        <f t="shared" si="0"/>
        <v>Existe requerimiento pero se requiere actividades  dirigidas a su mantenimiento dentro del marco de las lineas de defensa.</v>
      </c>
      <c r="I38" s="131">
        <f t="shared" si="1"/>
        <v>1</v>
      </c>
      <c r="J38" s="301"/>
    </row>
    <row r="39" spans="1:10" ht="45" x14ac:dyDescent="0.25">
      <c r="A39" s="1"/>
      <c r="B39" s="1"/>
      <c r="C39" s="129">
        <v>21</v>
      </c>
      <c r="D39" s="317"/>
      <c r="E39" s="115" t="str">
        <f>+IFERROR(INDEX(Hoja1!$E$2:$E$45,MATCH('Análisis Resultados'!C39,Hoja1!$H$2:$H$45,0)),"")</f>
        <v>Se definen espacios de reunión para conocerlos y proponer acciones para su solución</v>
      </c>
      <c r="F39" s="116" t="str">
        <f>+IFERROR(VLOOKUP(C39,Hoja1!$H$2:$I$45,2,0),"")</f>
        <v>Si</v>
      </c>
      <c r="G39" s="117" t="str">
        <f t="shared" si="0"/>
        <v>Existe requerimiento pero se requiere actividades  dirigidas a su mantenimiento dentro del marco de las lineas de defensa.</v>
      </c>
      <c r="I39" s="131">
        <f t="shared" si="1"/>
        <v>1</v>
      </c>
      <c r="J39" s="301"/>
    </row>
    <row r="40" spans="1:10" ht="45.75" thickBot="1" x14ac:dyDescent="0.3">
      <c r="A40" s="1"/>
      <c r="B40" s="1"/>
      <c r="C40" s="129">
        <v>22</v>
      </c>
      <c r="D40" s="317"/>
      <c r="E40" s="121" t="str">
        <f>+IFERROR(INDEX(Hoja1!$E$2:$E$45,MATCH('Análisis Resultados'!C40,Hoja1!$H$2:$H$45,0)),"")</f>
        <v>Solamente hasta que un organismo de control actúa se definen acciones de mejora.</v>
      </c>
      <c r="F40" s="122" t="str">
        <f>+IFERROR(VLOOKUP(C40,Hoja1!$H$2:$I$45,2,0),"")</f>
        <v>Si</v>
      </c>
      <c r="G40" s="123" t="str">
        <f t="shared" si="0"/>
        <v>Existe requerimiento pero se requiere actividades  dirigidas a su mantenimiento dentro del marco de las lineas de defensa.</v>
      </c>
      <c r="I40" s="133">
        <f t="shared" si="1"/>
        <v>1</v>
      </c>
      <c r="J40" s="301"/>
    </row>
    <row r="41" spans="1:10" ht="87.75" customHeight="1" x14ac:dyDescent="0.25">
      <c r="A41" s="1"/>
      <c r="B41" s="1"/>
      <c r="C41" s="129">
        <v>23</v>
      </c>
      <c r="D41" s="312" t="s">
        <v>79</v>
      </c>
      <c r="E41" s="112" t="str">
        <f>+IFERROR(INDEX(Hoja1!$E$2:$E$45,MATCH('Análisis Resultados'!C41,Hoja1!$H$2:$H$45,0)),"")</f>
        <v>Un documento que consolide  los riesgos  y el tratamiento que se les da, incluyendo aquellos que conllevan posibles actos de corrupción y si la capacidad e infraestructura lo permite, los asociados con las tecnologías de la información y las comunicaciones</v>
      </c>
      <c r="F41" s="113" t="str">
        <f>+IFERROR(VLOOKUP(C41,Hoja1!$H$2:$I$45,2,0),"")</f>
        <v>No</v>
      </c>
      <c r="G41" s="114" t="str">
        <f t="shared" si="0"/>
        <v>No se encuentra el aspecto  por lo tanto la entidad debera generar acciones dirigidas a que se cumpla con el requerimiento.</v>
      </c>
      <c r="I41" s="130">
        <f t="shared" si="1"/>
        <v>0</v>
      </c>
      <c r="J41" s="300">
        <f>+AVERAGE(I41:I45)</f>
        <v>0.5</v>
      </c>
    </row>
    <row r="42" spans="1:10" ht="45" x14ac:dyDescent="0.25">
      <c r="A42" s="1"/>
      <c r="B42" s="1"/>
      <c r="C42" s="129">
        <v>24</v>
      </c>
      <c r="D42" s="313"/>
      <c r="E42" s="115" t="str">
        <f>+IFERROR(INDEX(Hoja1!$E$2:$E$45,MATCH('Análisis Resultados'!C42,Hoja1!$H$2:$H$45,0)),"")</f>
        <v>La definición de acciones o actividades para para dar tratamiento a los problemas identificados (mitigación de riesgos), incluyendo aquellos asociados a posibles actos de corrupción</v>
      </c>
      <c r="F42" s="116" t="str">
        <f>+IFERROR(VLOOKUP(C42,Hoja1!$H$2:$I$45,2,0),"")</f>
        <v>En proceso</v>
      </c>
      <c r="G42" s="117" t="str">
        <f t="shared" si="0"/>
        <v>Se encuentra en proceso, pero requiere continuar con acciones dirigidas a contar con dicho aspecto de control.</v>
      </c>
      <c r="I42" s="131">
        <f t="shared" si="1"/>
        <v>0.5</v>
      </c>
      <c r="J42" s="301"/>
    </row>
    <row r="43" spans="1:10" ht="85.5" customHeight="1" x14ac:dyDescent="0.25">
      <c r="A43" s="1"/>
      <c r="B43" s="1"/>
      <c r="C43" s="129">
        <v>25</v>
      </c>
      <c r="D43" s="313"/>
      <c r="E43" s="115" t="str">
        <f>+IFERROR(INDEX(Hoja1!$E$2:$E$45,MATCH('Análisis Resultados'!C43,Hoja1!$H$2:$H$45,0)),"")</f>
        <v>Mecanismos de verificación de si se están o no mitigando los riesgos, o en su defecto, elaboración de planes de contingencia para subsanar sus consecuencias</v>
      </c>
      <c r="F43" s="116" t="str">
        <f>+IFERROR(VLOOKUP(C43,Hoja1!$H$2:$I$45,2,0),"")</f>
        <v>En proceso</v>
      </c>
      <c r="G43" s="117" t="str">
        <f t="shared" si="0"/>
        <v>Se encuentra en proceso, pero requiere continuar con acciones dirigidas a contar con dicho aspecto de control.</v>
      </c>
      <c r="I43" s="131">
        <f t="shared" si="1"/>
        <v>0.5</v>
      </c>
      <c r="J43" s="301"/>
    </row>
    <row r="44" spans="1:10" ht="57" customHeight="1" x14ac:dyDescent="0.25">
      <c r="A44" s="1"/>
      <c r="B44" s="1"/>
      <c r="C44" s="129">
        <v>26</v>
      </c>
      <c r="D44" s="313"/>
      <c r="E44" s="115" t="str">
        <f>+IFERROR(INDEX(Hoja1!$E$2:$E$45,MATCH('Análisis Resultados'!C44,Hoja1!$H$2:$H$45,0)),"")</f>
        <v>Planes, acciones o estrategias que permitan subsanar las consecuencias de la materialización de los riesgos, cuando se presentan</v>
      </c>
      <c r="F44" s="116" t="str">
        <f>+IFERROR(VLOOKUP(C44,Hoja1!$H$2:$I$45,2,0),"")</f>
        <v>En proceso</v>
      </c>
      <c r="G44" s="117" t="str">
        <f t="shared" si="0"/>
        <v>Se encuentra en proceso, pero requiere continuar con acciones dirigidas a contar con dicho aspecto de control.</v>
      </c>
      <c r="I44" s="131">
        <f t="shared" si="1"/>
        <v>0.5</v>
      </c>
      <c r="J44" s="301"/>
    </row>
    <row r="45" spans="1:10" ht="57" customHeight="1" thickBot="1" x14ac:dyDescent="0.3">
      <c r="A45" s="1"/>
      <c r="B45" s="1"/>
      <c r="C45" s="129">
        <v>27</v>
      </c>
      <c r="D45" s="314"/>
      <c r="E45" s="118" t="str">
        <f>+IFERROR(INDEX(Hoja1!$E$2:$E$45,MATCH('Análisis Resultados'!C45,Hoja1!$H$2:$H$45,0)),"")</f>
        <v>Un plan anticorrupción y de servicio al ciudadano con los temas que le aplican, publicado en algún medio para conocimiento de la ciudadanía</v>
      </c>
      <c r="F45" s="119" t="str">
        <f>+IFERROR(VLOOKUP(C45,Hoja1!$H$2:$I$45,2,0),"")</f>
        <v>Si</v>
      </c>
      <c r="G45" s="120" t="str">
        <f t="shared" si="0"/>
        <v>Existe requerimiento pero se requiere actividades  dirigidas a su mantenimiento dentro del marco de las lineas de defensa.</v>
      </c>
      <c r="I45" s="132">
        <f t="shared" si="1"/>
        <v>1</v>
      </c>
      <c r="J45" s="315"/>
    </row>
    <row r="46" spans="1:10" ht="63.75" customHeight="1" x14ac:dyDescent="0.25">
      <c r="A46" s="1"/>
      <c r="B46" s="1"/>
      <c r="C46" s="129">
        <v>28</v>
      </c>
      <c r="D46" s="311" t="s">
        <v>87</v>
      </c>
      <c r="E46" s="124" t="str">
        <f>+IFERROR(INDEX(Hoja1!$E$2:$E$45,MATCH('Análisis Resultados'!C46,Hoja1!$H$2:$H$45,0)),"")</f>
        <v>Identificación de información necesaria para la operación de la entidad (normograma, presupuesto, talento humano, infraestructura física y tecnológica)</v>
      </c>
      <c r="F46" s="125" t="str">
        <f>+IFERROR(VLOOKUP(C46,Hoja1!$H$2:$I$45,2,0),"")</f>
        <v>En proceso</v>
      </c>
      <c r="G46" s="126" t="str">
        <f t="shared" si="0"/>
        <v>Se encuentra en proceso, pero requiere continuar con acciones dirigidas a contar con dicho aspecto de control.</v>
      </c>
      <c r="I46" s="134">
        <f t="shared" si="1"/>
        <v>0.5</v>
      </c>
      <c r="J46" s="301">
        <f>+AVERAGE(I46:I52)</f>
        <v>0.9285714285714286</v>
      </c>
    </row>
    <row r="47" spans="1:10" ht="92.25" customHeight="1" x14ac:dyDescent="0.25">
      <c r="A47" s="1"/>
      <c r="B47" s="1"/>
      <c r="C47" s="129">
        <v>29</v>
      </c>
      <c r="D47" s="311"/>
      <c r="E47" s="115" t="str">
        <f>+IFERROR(INDEX(Hoja1!$E$2:$E$45,MATCH('Análisis Resultados'!C47,Hoja1!$H$2:$H$45,0)),"")</f>
        <v>Responsables de la información institucional</v>
      </c>
      <c r="F47" s="116" t="str">
        <f>+IFERROR(VLOOKUP(C47,Hoja1!$H$2:$I$45,2,0),"")</f>
        <v>Si</v>
      </c>
      <c r="G47" s="127" t="str">
        <f t="shared" si="0"/>
        <v>Existe requerimiento pero se requiere actividades  dirigidas a su mantenimiento dentro del marco de las lineas de defensa.</v>
      </c>
      <c r="I47" s="135">
        <f t="shared" si="1"/>
        <v>1</v>
      </c>
      <c r="J47" s="301"/>
    </row>
    <row r="48" spans="1:10" ht="66.75" customHeight="1" x14ac:dyDescent="0.25">
      <c r="A48" s="1"/>
      <c r="B48" s="1"/>
      <c r="C48" s="129">
        <v>30</v>
      </c>
      <c r="D48" s="311"/>
      <c r="E48" s="115" t="str">
        <f>+IFERROR(INDEX(Hoja1!$E$2:$E$45,MATCH('Análisis Resultados'!C48,Hoja1!$H$2:$H$45,0)),"")</f>
        <v>Canales de comunicación con los ciudadanos</v>
      </c>
      <c r="F48" s="116" t="str">
        <f>+IFERROR(VLOOKUP(C48,Hoja1!$H$2:$I$45,2,0),"")</f>
        <v>Si</v>
      </c>
      <c r="G48" s="127" t="str">
        <f t="shared" si="0"/>
        <v>Existe requerimiento pero se requiere actividades  dirigidas a su mantenimiento dentro del marco de las lineas de defensa.</v>
      </c>
      <c r="I48" s="135">
        <f t="shared" si="1"/>
        <v>1</v>
      </c>
      <c r="J48" s="301"/>
    </row>
    <row r="49" spans="1:10" ht="60" customHeight="1" x14ac:dyDescent="0.25">
      <c r="A49" s="1"/>
      <c r="B49" s="1"/>
      <c r="C49" s="129">
        <v>31</v>
      </c>
      <c r="D49" s="311"/>
      <c r="E49" s="115" t="str">
        <f>+IFERROR(INDEX(Hoja1!$E$2:$E$45,MATCH('Análisis Resultados'!C49,Hoja1!$H$2:$H$45,0)),"")</f>
        <v>Canales de comunicación o mecanismos de reporte de información a otros organismos gubernamentales o de control</v>
      </c>
      <c r="F49" s="116" t="str">
        <f>+IFERROR(VLOOKUP(C49,Hoja1!$H$2:$I$45,2,0),"")</f>
        <v>Si</v>
      </c>
      <c r="G49" s="127" t="str">
        <f t="shared" si="0"/>
        <v>Existe requerimiento pero se requiere actividades  dirigidas a su mantenimiento dentro del marco de las lineas de defensa.</v>
      </c>
      <c r="I49" s="135">
        <f t="shared" si="1"/>
        <v>1</v>
      </c>
      <c r="J49" s="301"/>
    </row>
    <row r="50" spans="1:10" ht="57" customHeight="1" x14ac:dyDescent="0.25">
      <c r="A50" s="1"/>
      <c r="B50" s="1"/>
      <c r="C50" s="129">
        <v>32</v>
      </c>
      <c r="D50" s="311"/>
      <c r="E50" s="115" t="str">
        <f>+IFERROR(INDEX(Hoja1!$E$2:$E$45,MATCH('Análisis Resultados'!C50,Hoja1!$H$2:$H$45,0)),"")</f>
        <v xml:space="preserve">Lineamientos para dar tratamiento a la información de carácter reservado </v>
      </c>
      <c r="F50" s="116" t="str">
        <f>+IFERROR(VLOOKUP(C50,Hoja1!$H$2:$I$45,2,0),"")</f>
        <v>Si</v>
      </c>
      <c r="G50" s="127" t="str">
        <f t="shared" si="0"/>
        <v>Existe requerimiento pero se requiere actividades  dirigidas a su mantenimiento dentro del marco de las lineas de defensa.</v>
      </c>
      <c r="I50" s="135">
        <f t="shared" si="1"/>
        <v>1</v>
      </c>
      <c r="J50" s="301"/>
    </row>
    <row r="51" spans="1:10" ht="57" customHeight="1" x14ac:dyDescent="0.25">
      <c r="A51" s="1"/>
      <c r="B51" s="1"/>
      <c r="C51" s="129">
        <v>33</v>
      </c>
      <c r="D51" s="311"/>
      <c r="E51" s="115" t="str">
        <f>+IFERROR(INDEX(Hoja1!$E$2:$E$45,MATCH('Análisis Resultados'!C51,Hoja1!$H$2:$H$45,0)),"")</f>
        <v>Identificación de información que produce en el marco de su gestión (Para los ciudadanos, organismos de control, organismos gubernamentales, entre otros)</v>
      </c>
      <c r="F51" s="116" t="str">
        <f>+IFERROR(VLOOKUP(C51,Hoja1!$H$2:$I$45,2,0),"")</f>
        <v>Si</v>
      </c>
      <c r="G51" s="127" t="str">
        <f t="shared" si="0"/>
        <v>Existe requerimiento pero se requiere actividades  dirigidas a su mantenimiento dentro del marco de las lineas de defensa.</v>
      </c>
      <c r="I51" s="135">
        <f t="shared" si="1"/>
        <v>1</v>
      </c>
      <c r="J51" s="301"/>
    </row>
    <row r="52" spans="1:10" ht="45.75" thickBot="1" x14ac:dyDescent="0.3">
      <c r="A52" s="1"/>
      <c r="B52" s="1"/>
      <c r="C52" s="129">
        <v>34</v>
      </c>
      <c r="D52" s="311"/>
      <c r="E52" s="121" t="str">
        <f>+IFERROR(INDEX(Hoja1!$E$2:$E$45,MATCH('Análisis Resultados'!C52,Hoja1!$H$2:$H$45,0)),"")</f>
        <v>Si su capacidad e infraestructura lo permite, tecnologías de la información y las comunicaciones que soporten estos procesos</v>
      </c>
      <c r="F52" s="122" t="str">
        <f>+IFERROR(VLOOKUP(C52,Hoja1!$H$2:$I$45,2,0),"")</f>
        <v>Si</v>
      </c>
      <c r="G52" s="128" t="str">
        <f t="shared" si="0"/>
        <v>Existe requerimiento pero se requiere actividades  dirigidas a su mantenimiento dentro del marco de las lineas de defensa.</v>
      </c>
      <c r="I52" s="136">
        <f t="shared" si="1"/>
        <v>1</v>
      </c>
      <c r="J52" s="301"/>
    </row>
    <row r="53" spans="1:10" ht="41.25" customHeight="1" x14ac:dyDescent="0.25">
      <c r="A53" s="1"/>
      <c r="B53" s="1"/>
      <c r="C53" s="129">
        <v>35</v>
      </c>
      <c r="D53" s="305" t="s">
        <v>97</v>
      </c>
      <c r="E53" s="112" t="str">
        <f>+IFERROR(INDEX(Hoja1!$E$2:$E$45,MATCH('Análisis Resultados'!C53,Hoja1!$H$2:$H$45,0)),"")</f>
        <v>Medidas correctivas en caso de detectarse deficiencias en los ejercicios de evaluación, seguimiento o auditoría</v>
      </c>
      <c r="F53" s="113" t="str">
        <f>+IFERROR(VLOOKUP(C53,Hoja1!$H$2:$I$45,2,0),"")</f>
        <v>No</v>
      </c>
      <c r="G53" s="114" t="str">
        <f t="shared" si="0"/>
        <v>No se encuentra el aspecto  por lo tanto la entidad debera generar acciones dirigidas a que se cumpla con el requerimiento.</v>
      </c>
      <c r="I53" s="130">
        <f t="shared" si="1"/>
        <v>0</v>
      </c>
      <c r="J53" s="308">
        <f>+AVERAGE(I53:I62)</f>
        <v>0.35</v>
      </c>
    </row>
    <row r="54" spans="1:10" ht="58.5" customHeight="1" x14ac:dyDescent="0.25">
      <c r="A54" s="1"/>
      <c r="B54" s="1"/>
      <c r="C54" s="129">
        <v>36</v>
      </c>
      <c r="D54" s="306"/>
      <c r="E54" s="115" t="str">
        <f>+IFERROR(INDEX(Hoja1!$E$2:$E$45,MATCH('Análisis Resultados'!C54,Hoja1!$H$2:$H$45,0)),"")</f>
        <v>Seguimiento a los planes de mejoramiento suscritos con instancias de control internas o externas</v>
      </c>
      <c r="F54" s="116" t="str">
        <f>+IFERROR(VLOOKUP(C54,Hoja1!$H$2:$I$45,2,0),"")</f>
        <v>No</v>
      </c>
      <c r="G54" s="117" t="str">
        <f t="shared" si="0"/>
        <v>No se encuentra el aspecto  por lo tanto la entidad debera generar acciones dirigidas a que se cumpla con el requerimiento.</v>
      </c>
      <c r="I54" s="131">
        <f t="shared" si="1"/>
        <v>0</v>
      </c>
      <c r="J54" s="309"/>
    </row>
    <row r="55" spans="1:10" s="1" customFormat="1" ht="84.75" customHeight="1" x14ac:dyDescent="0.25">
      <c r="C55" s="129">
        <v>37</v>
      </c>
      <c r="D55" s="306"/>
      <c r="E55" s="115" t="str">
        <f>+IFERROR(INDEX(Hoja1!$E$2:$E$45,MATCH('Análisis Resultados'!C55,Hoja1!$H$2:$H$45,0)),"")</f>
        <v>La entidad participa en el  Comité Municipal de Auditoría?</v>
      </c>
      <c r="F55" s="116" t="str">
        <f>+IFERROR(VLOOKUP(C55,Hoja1!$H$2:$I$45,2,0),"")</f>
        <v>No</v>
      </c>
      <c r="G55" s="117" t="str">
        <f t="shared" si="0"/>
        <v>No se encuentra el aspecto  por lo tanto la entidad debera generar acciones dirigidas a que se cumpla con el requerimiento.</v>
      </c>
      <c r="I55" s="131">
        <f t="shared" si="1"/>
        <v>0</v>
      </c>
      <c r="J55" s="309"/>
    </row>
    <row r="56" spans="1:10" s="1" customFormat="1" ht="78.75" customHeight="1" x14ac:dyDescent="0.25">
      <c r="C56" s="129">
        <v>38</v>
      </c>
      <c r="D56" s="306"/>
      <c r="E56" s="115" t="str">
        <f>+IFERROR(INDEX(Hoja1!$E$2:$E$45,MATCH('Análisis Resultados'!C56,Hoja1!$H$2:$H$45,0)),"")</f>
        <v>Diseñar acciones adecuadas para controlar los problemas que afectan el cumplimiento de las metas y objetivos institucionales (riesgos).</v>
      </c>
      <c r="F56" s="116" t="str">
        <f>+IFERROR(VLOOKUP(C56,Hoja1!$H$2:$I$45,2,0),"")</f>
        <v>No</v>
      </c>
      <c r="G56" s="117" t="str">
        <f t="shared" si="0"/>
        <v>No se encuentra el aspecto  por lo tanto la entidad debera generar acciones dirigidas a que se cumpla con el requerimiento.</v>
      </c>
      <c r="I56" s="131">
        <f t="shared" si="1"/>
        <v>0</v>
      </c>
      <c r="J56" s="309"/>
    </row>
    <row r="57" spans="1:10" s="1" customFormat="1" ht="54.75" customHeight="1" x14ac:dyDescent="0.25">
      <c r="C57" s="129">
        <v>39</v>
      </c>
      <c r="D57" s="306"/>
      <c r="E57" s="115" t="str">
        <f>+IFERROR(INDEX(Hoja1!$E$2:$E$45,MATCH('Análisis Resultados'!C57,Hoja1!$H$2:$H$45,0)),"")</f>
        <v>Ejecutar las acciones de acuerdo a como se diseñaron previamente.</v>
      </c>
      <c r="F57" s="116" t="str">
        <f>+IFERROR(VLOOKUP(C57,Hoja1!$H$2:$I$45,2,0),"")</f>
        <v>No</v>
      </c>
      <c r="G57" s="117" t="str">
        <f t="shared" si="0"/>
        <v>No se encuentra el aspecto  por lo tanto la entidad debera generar acciones dirigidas a que se cumpla con el requerimiento.</v>
      </c>
      <c r="I57" s="131">
        <f t="shared" si="1"/>
        <v>0</v>
      </c>
      <c r="J57" s="309"/>
    </row>
    <row r="58" spans="1:10" s="1" customFormat="1" ht="68.25" customHeight="1" x14ac:dyDescent="0.25">
      <c r="C58" s="129">
        <v>40</v>
      </c>
      <c r="D58" s="306"/>
      <c r="E58" s="115" t="str">
        <f>+IFERROR(INDEX(Hoja1!$E$2:$E$45,MATCH('Análisis Resultados'!C58,Hoja1!$H$2:$H$45,0)),"")</f>
        <v>Evitar que los problemas (riesgos) obstaculicen el cumplimiento de los objetivos.</v>
      </c>
      <c r="F58" s="116" t="str">
        <f>+IFERROR(VLOOKUP(C58,Hoja1!$H$2:$I$45,2,0),"")</f>
        <v>En proceso</v>
      </c>
      <c r="G58" s="117" t="str">
        <f t="shared" si="0"/>
        <v>Se encuentra en proceso, pero requiere continuar con acciones dirigidas a contar con dicho aspecto de control.</v>
      </c>
      <c r="I58" s="131">
        <f t="shared" si="1"/>
        <v>0.5</v>
      </c>
      <c r="J58" s="309"/>
    </row>
    <row r="59" spans="1:10" s="1" customFormat="1" ht="45" customHeight="1" x14ac:dyDescent="0.25">
      <c r="C59" s="129">
        <v>41</v>
      </c>
      <c r="D59" s="306"/>
      <c r="E59" s="115" t="str">
        <f>+IFERROR(INDEX(Hoja1!$E$2:$E$45,MATCH('Análisis Resultados'!C59,Hoja1!$H$2:$H$45,0)),"")</f>
        <v>Controlar los puntos críticos en los procesos.</v>
      </c>
      <c r="F59" s="116" t="str">
        <f>+IFERROR(VLOOKUP(C59,Hoja1!$H$2:$I$45,2,0),"")</f>
        <v>En proceso</v>
      </c>
      <c r="G59" s="117" t="str">
        <f t="shared" si="0"/>
        <v>Se encuentra en proceso, pero requiere continuar con acciones dirigidas a contar con dicho aspecto de control.</v>
      </c>
      <c r="I59" s="131">
        <f t="shared" si="1"/>
        <v>0.5</v>
      </c>
      <c r="J59" s="309"/>
    </row>
    <row r="60" spans="1:10" s="1" customFormat="1" ht="51.75" customHeight="1" x14ac:dyDescent="0.25">
      <c r="C60" s="129">
        <v>42</v>
      </c>
      <c r="D60" s="306"/>
      <c r="E60" s="115" t="str">
        <f>+IFERROR(INDEX(Hoja1!$E$2:$E$45,MATCH('Análisis Resultados'!C60,Hoja1!$H$2:$H$45,0)),"")</f>
        <v>No se gestionan los problemas que afectan el cumplimiento de las funciones y objetivos institucionales(riesgos).</v>
      </c>
      <c r="F60" s="116" t="str">
        <f>+IFERROR(VLOOKUP(C60,Hoja1!$H$2:$I$45,2,0),"")</f>
        <v>En proceso</v>
      </c>
      <c r="G60" s="117" t="str">
        <f t="shared" si="0"/>
        <v>Se encuentra en proceso, pero requiere continuar con acciones dirigidas a contar con dicho aspecto de control.</v>
      </c>
      <c r="I60" s="131">
        <f t="shared" si="1"/>
        <v>0.5</v>
      </c>
      <c r="J60" s="309"/>
    </row>
    <row r="61" spans="1:10" s="1" customFormat="1" ht="84" customHeight="1" x14ac:dyDescent="0.25">
      <c r="C61" s="129">
        <v>43</v>
      </c>
      <c r="D61" s="306"/>
      <c r="E61" s="115" t="str">
        <f>+IFERROR(INDEX(Hoja1!$E$2:$E$45,MATCH('Análisis Resultados'!C61,Hoja1!$H$2:$H$45,0)),"")</f>
        <v>Mecanismos de evaluación de la gestión (cronogramas, indicadores, listas de chequeo u otros)</v>
      </c>
      <c r="F61" s="116" t="str">
        <f>+IFERROR(VLOOKUP(C61,Hoja1!$H$2:$I$45,2,0),"")</f>
        <v>Si</v>
      </c>
      <c r="G61" s="117" t="str">
        <f t="shared" si="0"/>
        <v>Existe requerimiento pero se requiere actividades  dirigidas a su mantenimiento dentro del marco de las lineas de defensa.</v>
      </c>
      <c r="I61" s="131">
        <f t="shared" si="1"/>
        <v>1</v>
      </c>
      <c r="J61" s="309"/>
    </row>
    <row r="62" spans="1:10" s="1" customFormat="1" ht="60" customHeight="1" thickBot="1" x14ac:dyDescent="0.3">
      <c r="C62" s="129">
        <v>44</v>
      </c>
      <c r="D62" s="307"/>
      <c r="E62" s="118" t="str">
        <f>+IFERROR(INDEX(Hoja1!$E$2:$E$45,MATCH('Análisis Resultados'!C62,Hoja1!$H$2:$H$45,0)),"")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62" s="119" t="str">
        <f>+IFERROR(VLOOKUP(C62,Hoja1!$H$2:$I$45,2,0),"")</f>
        <v>Si</v>
      </c>
      <c r="G62" s="120" t="str">
        <f t="shared" si="0"/>
        <v>Existe requerimiento pero se requiere actividades  dirigidas a su mantenimiento dentro del marco de las lineas de defensa.</v>
      </c>
      <c r="I62" s="132">
        <f t="shared" si="1"/>
        <v>1</v>
      </c>
      <c r="J62" s="310"/>
    </row>
    <row r="63" spans="1:10" s="1" customFormat="1" x14ac:dyDescent="0.25"/>
    <row r="64" spans="1:10" s="1" customFormat="1" x14ac:dyDescent="0.25"/>
    <row r="65" spans="1:2" s="1" customFormat="1" x14ac:dyDescent="0.25"/>
    <row r="66" spans="1:2" s="1" customFormat="1" x14ac:dyDescent="0.25"/>
    <row r="67" spans="1:2" s="1" customFormat="1" x14ac:dyDescent="0.25"/>
    <row r="68" spans="1:2" s="1" customFormat="1" x14ac:dyDescent="0.25"/>
    <row r="69" spans="1:2" s="1" customFormat="1" x14ac:dyDescent="0.25"/>
    <row r="70" spans="1:2" s="1" customFormat="1" x14ac:dyDescent="0.25"/>
    <row r="71" spans="1:2" x14ac:dyDescent="0.25">
      <c r="A71" s="1"/>
      <c r="B71" s="1"/>
    </row>
    <row r="72" spans="1:2" x14ac:dyDescent="0.25">
      <c r="A72" s="1"/>
      <c r="B72" s="1"/>
    </row>
    <row r="73" spans="1:2" x14ac:dyDescent="0.25">
      <c r="A73" s="1"/>
      <c r="B73" s="1"/>
    </row>
    <row r="74" spans="1:2" x14ac:dyDescent="0.25">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J31:J40"/>
    <mergeCell ref="C12:D12"/>
    <mergeCell ref="E12:F12"/>
    <mergeCell ref="J19:J30"/>
    <mergeCell ref="D53:D62"/>
    <mergeCell ref="J53:J62"/>
    <mergeCell ref="D46:D52"/>
    <mergeCell ref="J46:J52"/>
    <mergeCell ref="D41:D45"/>
    <mergeCell ref="J41:J45"/>
    <mergeCell ref="D31:D40"/>
    <mergeCell ref="C11:D11"/>
    <mergeCell ref="E11:F11"/>
    <mergeCell ref="J17:J18"/>
    <mergeCell ref="D19:D30"/>
    <mergeCell ref="C17:C18"/>
    <mergeCell ref="D17:E17"/>
    <mergeCell ref="F17:F18"/>
    <mergeCell ref="G17:G18"/>
    <mergeCell ref="I17:I18"/>
    <mergeCell ref="C7:K7"/>
    <mergeCell ref="C9:D9"/>
    <mergeCell ref="E9:F9"/>
    <mergeCell ref="C10:D10"/>
    <mergeCell ref="E10:F10"/>
  </mergeCells>
  <conditionalFormatting sqref="I19:I62">
    <cfRule type="cellIs" dxfId="16" priority="4" operator="between">
      <formula>0.75</formula>
      <formula>1</formula>
    </cfRule>
    <cfRule type="cellIs" dxfId="15" priority="5" operator="between">
      <formula>0.5</formula>
      <formula>0.74</formula>
    </cfRule>
    <cfRule type="cellIs" dxfId="14" priority="6" operator="between">
      <formula>0</formula>
      <formula>0.49</formula>
    </cfRule>
  </conditionalFormatting>
  <conditionalFormatting sqref="J19:J31 J41 J46 J53">
    <cfRule type="cellIs" priority="1" operator="between">
      <formula>0.75</formula>
      <formula>1</formula>
    </cfRule>
    <cfRule type="cellIs" dxfId="13" priority="2" operator="between">
      <formula>0.5</formula>
      <formula>0.75</formula>
    </cfRule>
    <cfRule type="cellIs" dxfId="12"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zoomScale="64" zoomScaleNormal="64" workbookViewId="0">
      <selection activeCell="I34" sqref="I34:M34"/>
    </sheetView>
  </sheetViews>
  <sheetFormatPr baseColWidth="10" defaultColWidth="11.42578125" defaultRowHeight="15" x14ac:dyDescent="0.25"/>
  <cols>
    <col min="1" max="1" width="4.42578125" customWidth="1"/>
    <col min="3" max="3" width="35.5703125" customWidth="1"/>
    <col min="4" max="4" width="13" customWidth="1"/>
    <col min="5" max="5" width="43.28515625" customWidth="1"/>
    <col min="7" max="7" width="33.85546875" customWidth="1"/>
    <col min="9" max="9" width="92.28515625" customWidth="1"/>
    <col min="13" max="13" width="29" customWidth="1"/>
  </cols>
  <sheetData>
    <row r="1" spans="1:17" s="1" customFormat="1" x14ac:dyDescent="0.25"/>
    <row r="2" spans="1:17" ht="15.75" thickBot="1" x14ac:dyDescent="0.3">
      <c r="A2" s="1"/>
      <c r="B2" s="1"/>
      <c r="C2" s="1"/>
      <c r="D2" s="1"/>
      <c r="E2" s="1"/>
      <c r="F2" s="1"/>
      <c r="G2" s="1"/>
      <c r="H2" s="1"/>
      <c r="I2" s="1"/>
      <c r="J2" s="1"/>
      <c r="K2" s="1"/>
      <c r="L2" s="1"/>
      <c r="M2" s="1"/>
      <c r="N2" s="1"/>
      <c r="O2" s="1"/>
      <c r="P2" s="1"/>
      <c r="Q2" s="1"/>
    </row>
    <row r="3" spans="1:17" ht="15.75" thickTop="1" x14ac:dyDescent="0.25">
      <c r="A3" s="1"/>
      <c r="B3" s="2"/>
      <c r="C3" s="3"/>
      <c r="D3" s="3"/>
      <c r="E3" s="3"/>
      <c r="F3" s="3"/>
      <c r="G3" s="3"/>
      <c r="H3" s="3"/>
      <c r="I3" s="3"/>
      <c r="J3" s="3"/>
      <c r="K3" s="3"/>
      <c r="L3" s="3"/>
      <c r="M3" s="3"/>
      <c r="N3" s="3"/>
      <c r="O3" s="3"/>
      <c r="P3" s="4"/>
      <c r="Q3" s="1"/>
    </row>
    <row r="4" spans="1:17" ht="16.5" x14ac:dyDescent="0.3">
      <c r="A4" s="1"/>
      <c r="B4" s="5"/>
      <c r="C4" s="1"/>
      <c r="D4" s="1"/>
      <c r="E4" s="165" t="s">
        <v>124</v>
      </c>
      <c r="F4" s="167" t="s">
        <v>229</v>
      </c>
      <c r="G4" s="167"/>
      <c r="H4" s="167"/>
      <c r="I4" s="167"/>
      <c r="J4" s="167"/>
      <c r="K4" s="167"/>
      <c r="L4" s="167"/>
      <c r="M4" s="167"/>
      <c r="N4" s="6"/>
      <c r="O4" s="6"/>
      <c r="P4" s="7"/>
      <c r="Q4" s="1"/>
    </row>
    <row r="5" spans="1:17" ht="45.75" customHeight="1" x14ac:dyDescent="0.3">
      <c r="A5" s="1"/>
      <c r="B5" s="5"/>
      <c r="C5" s="1"/>
      <c r="D5" s="1"/>
      <c r="E5" s="166"/>
      <c r="F5" s="167"/>
      <c r="G5" s="167"/>
      <c r="H5" s="167"/>
      <c r="I5" s="167"/>
      <c r="J5" s="167"/>
      <c r="K5" s="167"/>
      <c r="L5" s="167"/>
      <c r="M5" s="167"/>
      <c r="N5" s="6"/>
      <c r="O5" s="6"/>
      <c r="P5" s="7"/>
      <c r="Q5" s="1"/>
    </row>
    <row r="6" spans="1:17" ht="66.75" customHeight="1" x14ac:dyDescent="0.3">
      <c r="A6" s="1"/>
      <c r="B6" s="5"/>
      <c r="C6" s="1"/>
      <c r="D6" s="1"/>
      <c r="E6" s="88" t="s">
        <v>125</v>
      </c>
      <c r="F6" s="168" t="s">
        <v>230</v>
      </c>
      <c r="G6" s="169"/>
      <c r="H6" s="169"/>
      <c r="I6" s="169"/>
      <c r="J6" s="169"/>
      <c r="K6" s="169"/>
      <c r="L6" s="169"/>
      <c r="M6" s="170"/>
      <c r="N6" s="8"/>
      <c r="O6" s="8"/>
      <c r="P6" s="7"/>
      <c r="Q6" s="1"/>
    </row>
    <row r="7" spans="1:17" ht="17.25" thickBot="1" x14ac:dyDescent="0.35">
      <c r="A7" s="1"/>
      <c r="B7" s="5"/>
      <c r="C7" s="1"/>
      <c r="D7" s="1"/>
      <c r="E7" s="9"/>
      <c r="F7" s="8"/>
      <c r="G7" s="8"/>
      <c r="H7" s="8"/>
      <c r="I7" s="8"/>
      <c r="J7" s="8"/>
      <c r="K7" s="8"/>
      <c r="L7" s="8"/>
      <c r="M7" s="1"/>
      <c r="N7" s="1"/>
      <c r="O7" s="1"/>
      <c r="P7" s="7"/>
      <c r="Q7" s="1"/>
    </row>
    <row r="8" spans="1:17" ht="97.5" customHeight="1" thickBot="1" x14ac:dyDescent="0.3">
      <c r="A8" s="1"/>
      <c r="B8" s="5"/>
      <c r="C8" s="1"/>
      <c r="D8" s="1"/>
      <c r="E8" s="1"/>
      <c r="F8" s="1"/>
      <c r="G8" s="1"/>
      <c r="H8" s="1"/>
      <c r="I8" s="171" t="s">
        <v>126</v>
      </c>
      <c r="J8" s="172"/>
      <c r="K8" s="173"/>
      <c r="L8" s="1"/>
      <c r="M8" s="137">
        <f>+AVERAGE(G26,G28,G30,G32,G34)</f>
        <v>0.57071428571428573</v>
      </c>
      <c r="N8" s="10"/>
      <c r="O8" s="10"/>
      <c r="P8" s="7"/>
      <c r="Q8" s="1"/>
    </row>
    <row r="9" spans="1:17" ht="15.75" x14ac:dyDescent="0.25">
      <c r="A9" s="1"/>
      <c r="B9" s="5"/>
      <c r="C9" s="1"/>
      <c r="D9" s="1"/>
      <c r="E9" s="1"/>
      <c r="F9" s="1"/>
      <c r="G9" s="1"/>
      <c r="H9" s="1"/>
      <c r="I9" s="1"/>
      <c r="J9" s="1"/>
      <c r="K9" s="1"/>
      <c r="L9" s="1"/>
      <c r="M9" s="11"/>
      <c r="N9" s="11"/>
      <c r="O9" s="11"/>
      <c r="P9" s="7"/>
      <c r="Q9" s="1"/>
    </row>
    <row r="10" spans="1:17" x14ac:dyDescent="0.25">
      <c r="A10" s="1"/>
      <c r="B10" s="5"/>
      <c r="C10" s="1"/>
      <c r="D10" s="1"/>
      <c r="E10" s="1"/>
      <c r="F10" s="1"/>
      <c r="G10" s="1"/>
      <c r="H10" s="1"/>
      <c r="I10" s="1"/>
      <c r="J10" s="1"/>
      <c r="K10" s="1"/>
      <c r="L10" s="1"/>
      <c r="M10" s="1"/>
      <c r="N10" s="1"/>
      <c r="O10" s="1"/>
      <c r="P10" s="7"/>
      <c r="Q10" s="1"/>
    </row>
    <row r="11" spans="1:17" x14ac:dyDescent="0.25">
      <c r="A11" s="1"/>
      <c r="B11" s="5"/>
      <c r="C11" s="1"/>
      <c r="D11" s="1"/>
      <c r="E11" s="1"/>
      <c r="F11" s="1"/>
      <c r="G11" s="1"/>
      <c r="H11" s="1"/>
      <c r="I11" s="1"/>
      <c r="J11" s="1"/>
      <c r="K11" s="1"/>
      <c r="L11" s="1"/>
      <c r="M11" s="1"/>
      <c r="N11" s="1"/>
      <c r="O11" s="1"/>
      <c r="P11" s="7"/>
      <c r="Q11" s="1"/>
    </row>
    <row r="12" spans="1:17" x14ac:dyDescent="0.25">
      <c r="A12" s="1"/>
      <c r="B12" s="5"/>
      <c r="C12" s="1"/>
      <c r="D12" s="1"/>
      <c r="E12" s="1"/>
      <c r="F12" s="1"/>
      <c r="G12" s="1"/>
      <c r="H12" s="1"/>
      <c r="I12" s="1"/>
      <c r="J12" s="1"/>
      <c r="K12" s="1"/>
      <c r="L12" s="1"/>
      <c r="M12" s="1"/>
      <c r="N12" s="1"/>
      <c r="O12" s="1"/>
      <c r="P12" s="7"/>
      <c r="Q12" s="1"/>
    </row>
    <row r="13" spans="1:17" x14ac:dyDescent="0.25">
      <c r="A13" s="1"/>
      <c r="B13" s="5"/>
      <c r="C13" s="1"/>
      <c r="D13" s="1"/>
      <c r="E13" s="1"/>
      <c r="F13" s="1"/>
      <c r="G13" s="1"/>
      <c r="H13" s="1"/>
      <c r="I13" s="1"/>
      <c r="J13" s="1"/>
      <c r="K13" s="1"/>
      <c r="L13" s="1"/>
      <c r="M13" s="1"/>
      <c r="N13" s="1"/>
      <c r="O13" s="1"/>
      <c r="P13" s="7"/>
      <c r="Q13" s="1"/>
    </row>
    <row r="14" spans="1:17" x14ac:dyDescent="0.25">
      <c r="A14" s="1"/>
      <c r="B14" s="5"/>
      <c r="C14" s="1"/>
      <c r="D14" s="1"/>
      <c r="E14" s="1"/>
      <c r="F14" s="1"/>
      <c r="G14" s="1"/>
      <c r="H14" s="1"/>
      <c r="I14" s="1"/>
      <c r="J14" s="1"/>
      <c r="K14" s="1"/>
      <c r="L14" s="1"/>
      <c r="M14" s="1"/>
      <c r="N14" s="1"/>
      <c r="O14" s="1"/>
      <c r="P14" s="7"/>
      <c r="Q14" s="1"/>
    </row>
    <row r="15" spans="1:17" x14ac:dyDescent="0.25">
      <c r="A15" s="1"/>
      <c r="B15" s="5"/>
      <c r="C15" s="1"/>
      <c r="D15" s="1"/>
      <c r="E15" s="1"/>
      <c r="F15" s="1"/>
      <c r="G15" s="1"/>
      <c r="H15" s="1"/>
      <c r="I15" s="1"/>
      <c r="J15" s="1"/>
      <c r="K15" s="1"/>
      <c r="L15" s="1"/>
      <c r="M15" s="1"/>
      <c r="N15" s="1"/>
      <c r="O15" s="1"/>
      <c r="P15" s="7"/>
      <c r="Q15" s="1"/>
    </row>
    <row r="16" spans="1:17" x14ac:dyDescent="0.25">
      <c r="A16" s="1"/>
      <c r="B16" s="5"/>
      <c r="C16" s="1"/>
      <c r="D16" s="1"/>
      <c r="E16" s="1"/>
      <c r="F16" s="1"/>
      <c r="G16" s="1"/>
      <c r="H16" s="1"/>
      <c r="I16" s="1"/>
      <c r="J16" s="1"/>
      <c r="K16" s="1"/>
      <c r="L16" s="1"/>
      <c r="M16" s="1"/>
      <c r="N16" s="1"/>
      <c r="O16" s="1"/>
      <c r="P16" s="7"/>
      <c r="Q16" s="1"/>
    </row>
    <row r="17" spans="1:17" x14ac:dyDescent="0.25">
      <c r="A17" s="1"/>
      <c r="B17" s="5"/>
      <c r="C17" s="1"/>
      <c r="D17" s="1"/>
      <c r="E17" s="1"/>
      <c r="F17" s="1"/>
      <c r="G17" s="1"/>
      <c r="H17" s="1"/>
      <c r="I17" s="1"/>
      <c r="J17" s="1"/>
      <c r="K17" s="1"/>
      <c r="L17" s="1"/>
      <c r="M17" s="1"/>
      <c r="N17" s="1"/>
      <c r="O17" s="1"/>
      <c r="P17" s="7"/>
      <c r="Q17" s="1"/>
    </row>
    <row r="18" spans="1:17" ht="23.25" x14ac:dyDescent="0.25">
      <c r="A18" s="1"/>
      <c r="B18" s="5"/>
      <c r="C18" s="174" t="s">
        <v>127</v>
      </c>
      <c r="D18" s="175"/>
      <c r="E18" s="175"/>
      <c r="F18" s="175"/>
      <c r="G18" s="175"/>
      <c r="H18" s="175"/>
      <c r="I18" s="175"/>
      <c r="J18" s="175"/>
      <c r="K18" s="175"/>
      <c r="L18" s="175"/>
      <c r="M18" s="176"/>
      <c r="N18" s="12"/>
      <c r="O18" s="12"/>
      <c r="P18" s="7"/>
      <c r="Q18" s="1"/>
    </row>
    <row r="19" spans="1:17" ht="16.5" thickBot="1" x14ac:dyDescent="0.3">
      <c r="A19" s="1"/>
      <c r="B19" s="5"/>
      <c r="C19" s="13"/>
      <c r="D19" s="13"/>
      <c r="E19" s="13"/>
      <c r="F19" s="13"/>
      <c r="G19" s="13"/>
      <c r="H19" s="13"/>
      <c r="I19" s="13"/>
      <c r="J19" s="13"/>
      <c r="K19" s="13"/>
      <c r="L19" s="13"/>
      <c r="M19" s="13"/>
      <c r="N19" s="14"/>
      <c r="O19" s="14"/>
      <c r="P19" s="7"/>
      <c r="Q19" s="1"/>
    </row>
    <row r="20" spans="1:17" ht="150" customHeight="1" x14ac:dyDescent="0.25">
      <c r="A20" s="1"/>
      <c r="B20" s="5"/>
      <c r="C20" s="177" t="s">
        <v>128</v>
      </c>
      <c r="D20" s="178"/>
      <c r="E20" s="140" t="s">
        <v>76</v>
      </c>
      <c r="F20" s="179" t="s">
        <v>231</v>
      </c>
      <c r="G20" s="179"/>
      <c r="H20" s="179"/>
      <c r="I20" s="179"/>
      <c r="J20" s="179"/>
      <c r="K20" s="179"/>
      <c r="L20" s="179"/>
      <c r="M20" s="180"/>
      <c r="N20" s="14"/>
      <c r="O20" s="14"/>
      <c r="P20" s="7"/>
      <c r="Q20" s="1"/>
    </row>
    <row r="21" spans="1:17" ht="126.75" customHeight="1" x14ac:dyDescent="0.25">
      <c r="A21" s="1"/>
      <c r="B21" s="5"/>
      <c r="C21" s="161" t="s">
        <v>129</v>
      </c>
      <c r="D21" s="162"/>
      <c r="E21" s="141" t="s">
        <v>39</v>
      </c>
      <c r="F21" s="181" t="s">
        <v>232</v>
      </c>
      <c r="G21" s="181"/>
      <c r="H21" s="181"/>
      <c r="I21" s="181"/>
      <c r="J21" s="181"/>
      <c r="K21" s="181"/>
      <c r="L21" s="181"/>
      <c r="M21" s="182"/>
      <c r="N21" s="14"/>
      <c r="O21" s="14"/>
      <c r="P21" s="7"/>
      <c r="Q21" s="1"/>
    </row>
    <row r="22" spans="1:17" ht="151.5" customHeight="1" thickBot="1" x14ac:dyDescent="0.3">
      <c r="A22" s="1"/>
      <c r="B22" s="5"/>
      <c r="C22" s="163" t="s">
        <v>130</v>
      </c>
      <c r="D22" s="164"/>
      <c r="E22" s="142" t="s">
        <v>39</v>
      </c>
      <c r="F22" s="183" t="s">
        <v>233</v>
      </c>
      <c r="G22" s="183"/>
      <c r="H22" s="183"/>
      <c r="I22" s="183"/>
      <c r="J22" s="183"/>
      <c r="K22" s="183"/>
      <c r="L22" s="183"/>
      <c r="M22" s="184"/>
      <c r="N22" s="14"/>
      <c r="O22" s="14"/>
      <c r="P22" s="7"/>
      <c r="Q22" s="1"/>
    </row>
    <row r="23" spans="1:17" x14ac:dyDescent="0.25">
      <c r="A23" s="1"/>
      <c r="B23" s="5"/>
      <c r="C23" s="1"/>
      <c r="D23" s="1"/>
      <c r="E23" s="1"/>
      <c r="F23" s="1"/>
      <c r="G23" s="15"/>
      <c r="H23" s="1"/>
      <c r="I23" s="1"/>
      <c r="J23" s="1"/>
      <c r="K23" s="1"/>
      <c r="L23" s="1"/>
      <c r="M23" s="1"/>
      <c r="N23" s="1"/>
      <c r="O23" s="1"/>
      <c r="P23" s="7"/>
      <c r="Q23" s="1"/>
    </row>
    <row r="24" spans="1:17" ht="78.75" x14ac:dyDescent="0.25">
      <c r="A24" s="1"/>
      <c r="B24" s="5"/>
      <c r="C24" s="91" t="s">
        <v>131</v>
      </c>
      <c r="D24" s="92"/>
      <c r="E24" s="91" t="s">
        <v>132</v>
      </c>
      <c r="F24" s="92"/>
      <c r="G24" s="91" t="s">
        <v>133</v>
      </c>
      <c r="H24" s="92"/>
      <c r="I24" s="158" t="s">
        <v>134</v>
      </c>
      <c r="J24" s="158"/>
      <c r="K24" s="158"/>
      <c r="L24" s="158"/>
      <c r="M24" s="158"/>
      <c r="N24" s="30"/>
      <c r="O24" s="30"/>
      <c r="P24" s="7"/>
      <c r="Q24" s="16"/>
    </row>
    <row r="25" spans="1:17" ht="13.5" customHeight="1" thickBot="1" x14ac:dyDescent="0.3">
      <c r="A25" s="1"/>
      <c r="B25" s="5"/>
      <c r="C25" s="29"/>
      <c r="I25" s="159"/>
      <c r="J25" s="159"/>
      <c r="K25" s="159"/>
      <c r="L25" s="159"/>
      <c r="M25" s="159"/>
      <c r="N25" s="31"/>
      <c r="O25" s="31"/>
      <c r="P25" s="7"/>
      <c r="Q25" s="1"/>
    </row>
    <row r="26" spans="1:17" ht="155.25" customHeight="1" thickBot="1" x14ac:dyDescent="0.3">
      <c r="A26" s="1"/>
      <c r="B26" s="5"/>
      <c r="C26" s="82" t="s">
        <v>32</v>
      </c>
      <c r="D26" s="17"/>
      <c r="E26" s="138" t="str">
        <f>+IF(Hoja1!K2&gt;=0.5,"Si","No")</f>
        <v>Si</v>
      </c>
      <c r="F26" s="18"/>
      <c r="G26" s="139">
        <f>+Hoja1!K2</f>
        <v>0.625</v>
      </c>
      <c r="H26" s="18"/>
      <c r="I26" s="318" t="s">
        <v>234</v>
      </c>
      <c r="J26" s="319"/>
      <c r="K26" s="319"/>
      <c r="L26" s="319"/>
      <c r="M26" s="320"/>
      <c r="N26" s="32"/>
      <c r="O26" s="33"/>
      <c r="P26" s="19"/>
      <c r="Q26" s="20"/>
    </row>
    <row r="27" spans="1:17" ht="27" thickBot="1" x14ac:dyDescent="0.45">
      <c r="A27" s="1"/>
      <c r="B27" s="5"/>
      <c r="C27" s="83"/>
      <c r="E27" s="90"/>
      <c r="G27" s="21"/>
      <c r="I27" s="160"/>
      <c r="J27" s="160"/>
      <c r="K27" s="160"/>
      <c r="L27" s="160"/>
      <c r="M27" s="160"/>
      <c r="N27" s="34"/>
      <c r="O27" s="34"/>
      <c r="P27" s="7"/>
      <c r="Q27" s="1"/>
    </row>
    <row r="28" spans="1:17" ht="111.75" customHeight="1" thickBot="1" x14ac:dyDescent="0.3">
      <c r="A28" s="1"/>
      <c r="B28" s="5"/>
      <c r="C28" s="84" t="s">
        <v>135</v>
      </c>
      <c r="D28" s="17"/>
      <c r="E28" s="138" t="str">
        <f>+IF(Hoja1!K14&gt;=0.5,"Si","No")</f>
        <v>No</v>
      </c>
      <c r="G28" s="139">
        <f>+Hoja1!K14</f>
        <v>0.45</v>
      </c>
      <c r="I28" s="324" t="s">
        <v>235</v>
      </c>
      <c r="J28" s="325"/>
      <c r="K28" s="325"/>
      <c r="L28" s="325"/>
      <c r="M28" s="326"/>
      <c r="N28" s="32"/>
      <c r="O28" s="32"/>
      <c r="P28" s="7"/>
      <c r="Q28" s="1"/>
    </row>
    <row r="29" spans="1:17" ht="27" thickBot="1" x14ac:dyDescent="0.45">
      <c r="A29" s="1"/>
      <c r="B29" s="5"/>
      <c r="C29" s="83"/>
      <c r="E29" s="90"/>
      <c r="G29" s="21"/>
      <c r="I29" s="160"/>
      <c r="J29" s="160"/>
      <c r="K29" s="160"/>
      <c r="L29" s="160"/>
      <c r="M29" s="160"/>
      <c r="N29" s="34"/>
      <c r="O29" s="34"/>
      <c r="P29" s="7"/>
      <c r="Q29" s="1"/>
    </row>
    <row r="30" spans="1:17" ht="123" customHeight="1" thickBot="1" x14ac:dyDescent="0.3">
      <c r="A30" s="1"/>
      <c r="B30" s="5"/>
      <c r="C30" s="85" t="s">
        <v>136</v>
      </c>
      <c r="D30" s="17"/>
      <c r="E30" s="138" t="str">
        <f>+IF(Hoja1!K24&gt;=0.5,"Si","No")</f>
        <v>Si</v>
      </c>
      <c r="G30" s="139">
        <f>+Hoja1!K24</f>
        <v>0.5</v>
      </c>
      <c r="I30" s="321" t="s">
        <v>236</v>
      </c>
      <c r="J30" s="322"/>
      <c r="K30" s="322"/>
      <c r="L30" s="322"/>
      <c r="M30" s="323"/>
      <c r="N30" s="32"/>
      <c r="O30" s="32"/>
      <c r="P30" s="7"/>
      <c r="Q30" s="1"/>
    </row>
    <row r="31" spans="1:17" ht="27" thickBot="1" x14ac:dyDescent="0.45">
      <c r="A31" s="1"/>
      <c r="B31" s="5"/>
      <c r="C31" s="83"/>
      <c r="E31" s="90"/>
      <c r="G31" s="21"/>
      <c r="I31" s="160"/>
      <c r="J31" s="160"/>
      <c r="K31" s="160"/>
      <c r="L31" s="160"/>
      <c r="M31" s="160"/>
      <c r="N31" s="34"/>
      <c r="O31" s="34"/>
      <c r="P31" s="7"/>
      <c r="Q31" s="1"/>
    </row>
    <row r="32" spans="1:17" ht="171" customHeight="1" thickBot="1" x14ac:dyDescent="0.3">
      <c r="A32" s="1"/>
      <c r="B32" s="5"/>
      <c r="C32" s="86" t="s">
        <v>87</v>
      </c>
      <c r="D32" s="17"/>
      <c r="E32" s="138" t="str">
        <f>+IF(Hoja1!K29&gt;=0.5,"Si","No")</f>
        <v>Si</v>
      </c>
      <c r="G32" s="139">
        <f>+Hoja1!K29</f>
        <v>0.9285714285714286</v>
      </c>
      <c r="I32" s="155" t="s">
        <v>237</v>
      </c>
      <c r="J32" s="156"/>
      <c r="K32" s="156"/>
      <c r="L32" s="156"/>
      <c r="M32" s="157"/>
      <c r="N32" s="32"/>
      <c r="O32" s="32"/>
      <c r="P32" s="7"/>
      <c r="Q32" s="1"/>
    </row>
    <row r="33" spans="1:17" ht="27" thickBot="1" x14ac:dyDescent="0.45">
      <c r="A33" s="1"/>
      <c r="B33" s="5"/>
      <c r="C33" s="83"/>
      <c r="E33" s="90"/>
      <c r="G33" s="21"/>
      <c r="I33" s="160"/>
      <c r="J33" s="160"/>
      <c r="K33" s="160"/>
      <c r="L33" s="160"/>
      <c r="M33" s="160"/>
      <c r="N33" s="34"/>
      <c r="O33" s="34"/>
      <c r="P33" s="7"/>
      <c r="Q33" s="1"/>
    </row>
    <row r="34" spans="1:17" ht="164.25" customHeight="1" thickBot="1" x14ac:dyDescent="0.3">
      <c r="A34" s="1"/>
      <c r="B34" s="5"/>
      <c r="C34" s="87" t="s">
        <v>137</v>
      </c>
      <c r="D34" s="17"/>
      <c r="E34" s="89" t="str">
        <f>+IF(Hoja1!K36&gt;=0.5,"Si","No")</f>
        <v>No</v>
      </c>
      <c r="G34" s="139">
        <f>+Hoja1!K36</f>
        <v>0.35</v>
      </c>
      <c r="I34" s="152" t="s">
        <v>238</v>
      </c>
      <c r="J34" s="153"/>
      <c r="K34" s="153"/>
      <c r="L34" s="153"/>
      <c r="M34" s="154"/>
      <c r="N34" s="32"/>
      <c r="O34" s="32"/>
      <c r="P34" s="7"/>
      <c r="Q34" s="1"/>
    </row>
    <row r="35" spans="1:17" ht="15.75" x14ac:dyDescent="0.25">
      <c r="A35" s="1"/>
      <c r="B35" s="5"/>
      <c r="C35" s="22"/>
      <c r="D35" s="22"/>
      <c r="E35" s="14"/>
      <c r="F35" s="1"/>
      <c r="G35" s="1"/>
      <c r="H35" s="1"/>
      <c r="I35" s="1"/>
      <c r="J35" s="1"/>
      <c r="K35" s="1"/>
      <c r="L35" s="1"/>
      <c r="M35" s="23"/>
      <c r="N35" s="23"/>
      <c r="O35" s="23"/>
      <c r="P35" s="7"/>
      <c r="Q35" s="1"/>
    </row>
    <row r="36" spans="1:17" ht="15.75" x14ac:dyDescent="0.25">
      <c r="A36" s="1"/>
      <c r="B36" s="5"/>
      <c r="C36" s="24"/>
      <c r="D36" s="22"/>
      <c r="E36" s="14"/>
      <c r="F36" s="1"/>
      <c r="G36" s="1"/>
      <c r="H36" s="1"/>
      <c r="I36" s="1"/>
      <c r="J36" s="1"/>
      <c r="K36" s="1"/>
      <c r="L36" s="1"/>
      <c r="M36" s="23"/>
      <c r="N36" s="23"/>
      <c r="O36" s="23"/>
      <c r="P36" s="7"/>
      <c r="Q36" s="1"/>
    </row>
    <row r="37" spans="1:17" x14ac:dyDescent="0.25">
      <c r="A37" s="1"/>
      <c r="B37" s="5"/>
      <c r="C37" s="25"/>
      <c r="D37" s="1"/>
      <c r="E37" s="1"/>
      <c r="F37" s="1"/>
      <c r="G37" s="1"/>
      <c r="H37" s="1"/>
      <c r="I37" s="1"/>
      <c r="J37" s="1"/>
      <c r="K37" s="1"/>
      <c r="L37" s="1"/>
      <c r="M37" s="1"/>
      <c r="N37" s="1"/>
      <c r="O37" s="1"/>
      <c r="P37" s="7"/>
      <c r="Q37" s="1"/>
    </row>
    <row r="38" spans="1:17" ht="15.75" thickBot="1" x14ac:dyDescent="0.3">
      <c r="A38" s="1"/>
      <c r="B38" s="26"/>
      <c r="C38" s="27"/>
      <c r="D38" s="27"/>
      <c r="E38" s="27"/>
      <c r="F38" s="27"/>
      <c r="G38" s="27"/>
      <c r="H38" s="27"/>
      <c r="I38" s="27"/>
      <c r="J38" s="27"/>
      <c r="K38" s="27"/>
      <c r="L38" s="27"/>
      <c r="M38" s="27"/>
      <c r="N38" s="27"/>
      <c r="O38" s="27"/>
      <c r="P38" s="28"/>
      <c r="Q38" s="1"/>
    </row>
    <row r="39" spans="1:17" ht="15.75" thickTop="1" x14ac:dyDescent="0.25">
      <c r="A39" s="1"/>
      <c r="B39" s="1"/>
      <c r="C39" s="1"/>
      <c r="D39" s="1"/>
      <c r="E39" s="1"/>
      <c r="F39" s="1"/>
      <c r="G39" s="1"/>
      <c r="H39" s="1"/>
      <c r="I39" s="1"/>
      <c r="J39" s="1"/>
      <c r="K39" s="1"/>
      <c r="L39" s="1"/>
      <c r="M39" s="1"/>
      <c r="N39" s="1"/>
      <c r="O39" s="1"/>
      <c r="P39" s="1"/>
      <c r="Q39" s="1"/>
    </row>
    <row r="40" spans="1:17" x14ac:dyDescent="0.25">
      <c r="A40" s="1"/>
      <c r="B40" s="1"/>
      <c r="C40" s="1"/>
      <c r="D40" s="1"/>
      <c r="E40" s="1"/>
      <c r="F40" s="1"/>
      <c r="G40" s="1"/>
      <c r="H40" s="1"/>
      <c r="I40" s="1"/>
      <c r="J40" s="1"/>
      <c r="K40" s="1"/>
      <c r="L40" s="1"/>
      <c r="M40" s="1"/>
      <c r="N40" s="1"/>
      <c r="O40" s="1"/>
      <c r="P40" s="1"/>
      <c r="Q40" s="1"/>
    </row>
    <row r="41" spans="1:17" x14ac:dyDescent="0.25">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C21:D21"/>
    <mergeCell ref="C22:D22"/>
    <mergeCell ref="E4:E5"/>
    <mergeCell ref="F4:M5"/>
    <mergeCell ref="F6:M6"/>
    <mergeCell ref="I8:K8"/>
    <mergeCell ref="C18:M18"/>
    <mergeCell ref="C20:D20"/>
    <mergeCell ref="F20:M20"/>
    <mergeCell ref="F21:M21"/>
    <mergeCell ref="F22:M22"/>
    <mergeCell ref="I34:M34"/>
    <mergeCell ref="I30:M30"/>
    <mergeCell ref="I32:M32"/>
    <mergeCell ref="I24:M24"/>
    <mergeCell ref="I26:M26"/>
    <mergeCell ref="I28:M28"/>
    <mergeCell ref="I25:M25"/>
    <mergeCell ref="I27:M27"/>
    <mergeCell ref="I29:M29"/>
    <mergeCell ref="I31:M31"/>
    <mergeCell ref="I33:M33"/>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5" priority="1" operator="between">
      <formula>0.75</formula>
      <formula>1</formula>
    </cfRule>
    <cfRule type="cellIs" dxfId="4" priority="2" operator="between">
      <formula>0.5</formula>
      <formula>0.75</formula>
    </cfRule>
    <cfRule type="cellIs" dxfId="3" priority="3" operator="between">
      <formula>0</formula>
      <formula>0.49</formula>
    </cfRule>
    <cfRule type="cellIs" priority="27" operator="between">
      <formula>0.76</formula>
      <formula>1</formula>
    </cfRule>
    <cfRule type="cellIs" dxfId="2" priority="28" operator="between">
      <formula>0.51</formula>
      <formula>0.75</formula>
    </cfRule>
    <cfRule type="cellIs" dxfId="1" priority="29" operator="between">
      <formula>0.26</formula>
      <formula>0.5</formula>
    </cfRule>
    <cfRule type="cellIs" dxfId="0" priority="30" operator="between">
      <formula>0</formula>
      <formula>0.25</formula>
    </cfRule>
  </conditionalFormatting>
  <dataValidations count="3">
    <dataValidation type="list" allowBlank="1" showInputMessage="1" showErrorMessage="1" sqref="E21:E22" xr:uid="{00000000-0002-0000-0300-000000000000}">
      <formula1>"Si, No"</formula1>
    </dataValidation>
    <dataValidation allowBlank="1" showInputMessage="1" showErrorMessage="1" prompt="Celda formulada, información proveniente de la pestaña de deficiencias." sqref="E24" xr:uid="{00000000-0002-0000-0300-000001000000}"/>
    <dataValidation type="list" allowBlank="1" showInputMessage="1" showErrorMessage="1" sqref="E20" xr:uid="{00000000-0002-0000-0300-000002000000}">
      <formula1>"Si,En proceso,No"</formula1>
    </dataValidation>
  </dataValidations>
  <pageMargins left="0.7" right="0.7" top="0.75" bottom="0.75" header="0.3" footer="0.3"/>
  <pageSetup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5"/>
  <sheetViews>
    <sheetView workbookViewId="0">
      <selection activeCell="F2" sqref="F2"/>
    </sheetView>
  </sheetViews>
  <sheetFormatPr baseColWidth="10" defaultColWidth="11.42578125" defaultRowHeight="15" x14ac:dyDescent="0.25"/>
  <cols>
    <col min="2" max="2" width="31" bestFit="1" customWidth="1"/>
    <col min="3" max="3" width="17.140625" customWidth="1"/>
    <col min="5" max="5" width="15.140625" customWidth="1"/>
    <col min="10" max="10" width="15.7109375" customWidth="1"/>
    <col min="11" max="11" width="12" bestFit="1" customWidth="1"/>
  </cols>
  <sheetData>
    <row r="1" spans="1:11" ht="84.75" customHeight="1" x14ac:dyDescent="0.25">
      <c r="A1" s="143" t="s">
        <v>25</v>
      </c>
      <c r="B1" s="143" t="s">
        <v>6</v>
      </c>
      <c r="C1" s="144" t="s">
        <v>8</v>
      </c>
      <c r="D1" s="145" t="s">
        <v>26</v>
      </c>
      <c r="E1" s="145" t="s">
        <v>27</v>
      </c>
      <c r="F1" s="145" t="s">
        <v>138</v>
      </c>
      <c r="G1" s="146" t="s">
        <v>139</v>
      </c>
      <c r="H1" s="146" t="s">
        <v>140</v>
      </c>
      <c r="I1" s="146" t="s">
        <v>119</v>
      </c>
      <c r="J1" s="146" t="s">
        <v>141</v>
      </c>
      <c r="K1" s="146" t="s">
        <v>142</v>
      </c>
    </row>
    <row r="2" spans="1:11" x14ac:dyDescent="0.25">
      <c r="A2" s="147" t="s">
        <v>143</v>
      </c>
      <c r="B2" s="147" t="str">
        <f>+VLOOKUP(A2,'Estado SCI'!$A$16:$C$59,3,0)</f>
        <v>AMBIENTE DE CONTROL</v>
      </c>
      <c r="C2" s="147" t="s">
        <v>33</v>
      </c>
      <c r="D2" s="147" t="s">
        <v>34</v>
      </c>
      <c r="E2" s="147" t="s">
        <v>35</v>
      </c>
      <c r="F2" s="147" t="str">
        <f>+VLOOKUP(A2,'Estado SCI'!$A$16:$I$59,9,0)</f>
        <v>Oportunidad de mejora</v>
      </c>
      <c r="G2" s="147">
        <f>+VLOOKUP(A2,'Estado SCI'!$A$16:$L$59,12,0)</f>
        <v>10.122999999999999</v>
      </c>
      <c r="H2" s="147">
        <f t="shared" ref="H2:H45" si="0">+_xlfn.RANK.EQ(G2,$G$2:$G$45,1)</f>
        <v>3</v>
      </c>
      <c r="I2" s="147" t="str">
        <f>+IF(VLOOKUP(A2,'Estado SCI'!$A$16:$G$59,7,0)="","",VLOOKUP(A2,'Estado SCI'!$A$16:$G$59,7,0))</f>
        <v>En proceso</v>
      </c>
      <c r="J2" s="148">
        <f>+IF(I2="Si",1,IF(I2="En proceso",0.5,0))</f>
        <v>0.5</v>
      </c>
      <c r="K2" s="149">
        <f t="shared" ref="K2:K45" si="1">+AVERAGEIF($B$2:$B$45,B2,$J$2:$J$45)</f>
        <v>0.625</v>
      </c>
    </row>
    <row r="3" spans="1:11" x14ac:dyDescent="0.25">
      <c r="A3" s="147" t="s">
        <v>144</v>
      </c>
      <c r="B3" s="147" t="s">
        <v>32</v>
      </c>
      <c r="C3" s="147" t="s">
        <v>33</v>
      </c>
      <c r="D3" s="147" t="s">
        <v>37</v>
      </c>
      <c r="E3" s="147" t="s">
        <v>38</v>
      </c>
      <c r="F3" s="147" t="str">
        <f>+VLOOKUP(A3,'Estado SCI'!$A$16:$I$59,9,0)</f>
        <v>Mantenimiento del control</v>
      </c>
      <c r="G3" s="147">
        <f>+VLOOKUP(A3,'Estado SCI'!$A$16:$L$59,12,0)</f>
        <v>20.1234</v>
      </c>
      <c r="H3" s="147">
        <f t="shared" si="0"/>
        <v>8</v>
      </c>
      <c r="I3" s="147" t="str">
        <f>+IF(VLOOKUP(A3,'Estado SCI'!$A$16:$G$59,7,0)="","",VLOOKUP(A3,'Estado SCI'!$A$16:$G$59,7,0))</f>
        <v>Si</v>
      </c>
      <c r="J3" s="148">
        <f t="shared" ref="J3:J45" si="2">+IF(I3="Si",1,IF(I3="En proceso",0.5,0))</f>
        <v>1</v>
      </c>
      <c r="K3" s="149">
        <f t="shared" si="1"/>
        <v>0.625</v>
      </c>
    </row>
    <row r="4" spans="1:11" x14ac:dyDescent="0.25">
      <c r="A4" s="147" t="s">
        <v>145</v>
      </c>
      <c r="B4" s="147" t="s">
        <v>32</v>
      </c>
      <c r="C4" s="147" t="s">
        <v>33</v>
      </c>
      <c r="D4" s="147" t="s">
        <v>40</v>
      </c>
      <c r="E4" s="147" t="s">
        <v>41</v>
      </c>
      <c r="F4" s="147" t="str">
        <f>+VLOOKUP(A4,'Estado SCI'!$A$16:$I$59,9,0)</f>
        <v>Mantenimiento del control</v>
      </c>
      <c r="G4" s="147">
        <f>+VLOOKUP(A4,'Estado SCI'!$A$16:$L$59,12,0)</f>
        <v>20.123449999999998</v>
      </c>
      <c r="H4" s="147">
        <f t="shared" si="0"/>
        <v>9</v>
      </c>
      <c r="I4" s="147" t="str">
        <f>+IF(VLOOKUP(A4,'Estado SCI'!$A$16:$G$59,7,0)="","",VLOOKUP(A4,'Estado SCI'!$A$16:$G$59,7,0))</f>
        <v>Si</v>
      </c>
      <c r="J4" s="148">
        <f t="shared" si="2"/>
        <v>1</v>
      </c>
      <c r="K4" s="149">
        <f t="shared" si="1"/>
        <v>0.625</v>
      </c>
    </row>
    <row r="5" spans="1:11" x14ac:dyDescent="0.25">
      <c r="A5" s="147" t="s">
        <v>146</v>
      </c>
      <c r="B5" s="147" t="s">
        <v>32</v>
      </c>
      <c r="C5" s="147" t="s">
        <v>33</v>
      </c>
      <c r="D5" s="147" t="s">
        <v>42</v>
      </c>
      <c r="E5" s="147" t="s">
        <v>43</v>
      </c>
      <c r="F5" s="147" t="str">
        <f>+VLOOKUP(A5,'Estado SCI'!$A$16:$I$59,9,0)</f>
        <v>Oportunidad de mejora</v>
      </c>
      <c r="G5" s="147">
        <f>+VLOOKUP(A5,'Estado SCI'!$A$16:$L$59,12,0)</f>
        <v>10.123455999999999</v>
      </c>
      <c r="H5" s="147">
        <f t="shared" si="0"/>
        <v>4</v>
      </c>
      <c r="I5" s="147" t="str">
        <f>+IF(VLOOKUP(A5,'Estado SCI'!$A$16:$G$59,7,0)="","",VLOOKUP(A5,'Estado SCI'!$A$16:$G$59,7,0))</f>
        <v>En proceso</v>
      </c>
      <c r="J5" s="148">
        <f t="shared" si="2"/>
        <v>0.5</v>
      </c>
      <c r="K5" s="149">
        <f t="shared" si="1"/>
        <v>0.625</v>
      </c>
    </row>
    <row r="6" spans="1:11" x14ac:dyDescent="0.25">
      <c r="A6" s="147" t="s">
        <v>147</v>
      </c>
      <c r="B6" s="147" t="s">
        <v>32</v>
      </c>
      <c r="C6" s="147" t="s">
        <v>33</v>
      </c>
      <c r="D6" s="147" t="s">
        <v>44</v>
      </c>
      <c r="E6" s="147" t="s">
        <v>45</v>
      </c>
      <c r="F6" s="147" t="str">
        <f>+VLOOKUP(A6,'Estado SCI'!$A$16:$I$59,9,0)</f>
        <v>Oportunidad de mejora</v>
      </c>
      <c r="G6" s="147">
        <f>+VLOOKUP(A6,'Estado SCI'!$A$16:$L$59,12,0)</f>
        <v>10.12345678</v>
      </c>
      <c r="H6" s="147">
        <f t="shared" si="0"/>
        <v>5</v>
      </c>
      <c r="I6" s="147" t="str">
        <f>+IF(VLOOKUP(A6,'Estado SCI'!$A$16:$G$59,7,0)="","",VLOOKUP(A6,'Estado SCI'!$A$16:$G$59,7,0))</f>
        <v>En proceso</v>
      </c>
      <c r="J6" s="148">
        <f t="shared" si="2"/>
        <v>0.5</v>
      </c>
      <c r="K6" s="149">
        <f t="shared" si="1"/>
        <v>0.625</v>
      </c>
    </row>
    <row r="7" spans="1:11" x14ac:dyDescent="0.25">
      <c r="A7" s="147" t="s">
        <v>148</v>
      </c>
      <c r="B7" s="147" t="s">
        <v>32</v>
      </c>
      <c r="C7" s="147" t="s">
        <v>33</v>
      </c>
      <c r="D7" s="147" t="s">
        <v>46</v>
      </c>
      <c r="E7" s="147" t="s">
        <v>47</v>
      </c>
      <c r="F7" s="147" t="str">
        <f>+VLOOKUP(A7,'Estado SCI'!$A$16:$I$59,9,0)</f>
        <v>Oportunidad de mejora</v>
      </c>
      <c r="G7" s="147">
        <f>+VLOOKUP(A7,'Estado SCI'!$A$16:$L$59,12,0)</f>
        <v>10.123456789</v>
      </c>
      <c r="H7" s="147">
        <f t="shared" si="0"/>
        <v>6</v>
      </c>
      <c r="I7" s="147" t="str">
        <f>+IF(VLOOKUP(A7,'Estado SCI'!$A$16:$G$59,7,0)="","",VLOOKUP(A7,'Estado SCI'!$A$16:$G$59,7,0))</f>
        <v>En proceso</v>
      </c>
      <c r="J7" s="148">
        <f t="shared" si="2"/>
        <v>0.5</v>
      </c>
      <c r="K7" s="149">
        <f t="shared" si="1"/>
        <v>0.625</v>
      </c>
    </row>
    <row r="8" spans="1:11" x14ac:dyDescent="0.25">
      <c r="A8" s="147" t="s">
        <v>149</v>
      </c>
      <c r="B8" s="147" t="s">
        <v>32</v>
      </c>
      <c r="C8" s="147" t="s">
        <v>33</v>
      </c>
      <c r="D8" s="147" t="s">
        <v>48</v>
      </c>
      <c r="E8" s="147" t="s">
        <v>49</v>
      </c>
      <c r="F8" s="147" t="str">
        <f>+VLOOKUP(A8,'Estado SCI'!$A$16:$I$59,9,0)</f>
        <v>Mantenimiento del control</v>
      </c>
      <c r="G8" s="147">
        <f>+VLOOKUP(A8,'Estado SCI'!$A$16:$L$59,12,0)</f>
        <v>20.1234567891</v>
      </c>
      <c r="H8" s="147">
        <f t="shared" si="0"/>
        <v>10</v>
      </c>
      <c r="I8" s="147" t="str">
        <f>+IF(VLOOKUP(A8,'Estado SCI'!$A$16:$G$59,7,0)="","",VLOOKUP(A8,'Estado SCI'!$A$16:$G$59,7,0))</f>
        <v>Si</v>
      </c>
      <c r="J8" s="148">
        <f t="shared" si="2"/>
        <v>1</v>
      </c>
      <c r="K8" s="149">
        <f t="shared" si="1"/>
        <v>0.625</v>
      </c>
    </row>
    <row r="9" spans="1:11" x14ac:dyDescent="0.25">
      <c r="A9" s="147" t="s">
        <v>150</v>
      </c>
      <c r="B9" s="147" t="s">
        <v>32</v>
      </c>
      <c r="C9" s="147" t="s">
        <v>33</v>
      </c>
      <c r="D9" s="147" t="s">
        <v>50</v>
      </c>
      <c r="E9" s="147" t="s">
        <v>51</v>
      </c>
      <c r="F9" s="147" t="str">
        <f>+VLOOKUP(A9,'Estado SCI'!$A$16:$I$59,9,0)</f>
        <v>Oportunidad de mejora</v>
      </c>
      <c r="G9" s="147">
        <f>+VLOOKUP(A9,'Estado SCI'!$A$16:$L$59,12,0)</f>
        <v>10.12345678912</v>
      </c>
      <c r="H9" s="147">
        <f t="shared" si="0"/>
        <v>7</v>
      </c>
      <c r="I9" s="147" t="str">
        <f>+IF(VLOOKUP(A9,'Estado SCI'!$A$16:$G$59,7,0)="","",VLOOKUP(A9,'Estado SCI'!$A$16:$G$59,7,0))</f>
        <v>En proceso</v>
      </c>
      <c r="J9" s="148">
        <f t="shared" si="2"/>
        <v>0.5</v>
      </c>
      <c r="K9" s="149">
        <f t="shared" si="1"/>
        <v>0.625</v>
      </c>
    </row>
    <row r="10" spans="1:11" x14ac:dyDescent="0.25">
      <c r="A10" s="147" t="s">
        <v>151</v>
      </c>
      <c r="B10" s="147" t="s">
        <v>32</v>
      </c>
      <c r="C10" s="147" t="s">
        <v>33</v>
      </c>
      <c r="D10" s="147" t="s">
        <v>52</v>
      </c>
      <c r="E10" s="147" t="s">
        <v>53</v>
      </c>
      <c r="F10" s="147" t="str">
        <f>+VLOOKUP(A10,'Estado SCI'!$A$16:$I$59,9,0)</f>
        <v>Deficiencia de control</v>
      </c>
      <c r="G10" s="147">
        <f>+VLOOKUP(A10,'Estado SCI'!$A$16:$L$59,12,0)</f>
        <v>0.123456789123</v>
      </c>
      <c r="H10" s="147">
        <f t="shared" si="0"/>
        <v>1</v>
      </c>
      <c r="I10" s="147" t="str">
        <f>+IF(VLOOKUP(A10,'Estado SCI'!$A$16:$G$59,7,0)="","",VLOOKUP(A10,'Estado SCI'!$A$16:$G$59,7,0))</f>
        <v>No</v>
      </c>
      <c r="J10" s="148">
        <f t="shared" si="2"/>
        <v>0</v>
      </c>
      <c r="K10" s="149">
        <f t="shared" si="1"/>
        <v>0.625</v>
      </c>
    </row>
    <row r="11" spans="1:11" x14ac:dyDescent="0.25">
      <c r="A11" s="147" t="s">
        <v>152</v>
      </c>
      <c r="B11" s="147" t="s">
        <v>32</v>
      </c>
      <c r="C11" s="147" t="s">
        <v>33</v>
      </c>
      <c r="D11" s="147" t="s">
        <v>54</v>
      </c>
      <c r="E11" s="147" t="s">
        <v>55</v>
      </c>
      <c r="F11" s="147" t="str">
        <f>+VLOOKUP(A11,'Estado SCI'!$A$16:$I$59,9,0)</f>
        <v>Mantenimiento del control</v>
      </c>
      <c r="G11" s="147">
        <f>+VLOOKUP(A11,'Estado SCI'!$A$16:$L$59,12,0)</f>
        <v>20.123456789123399</v>
      </c>
      <c r="H11" s="147">
        <f t="shared" si="0"/>
        <v>11</v>
      </c>
      <c r="I11" s="147" t="str">
        <f>+IF(VLOOKUP(A11,'Estado SCI'!$A$16:$G$59,7,0)="","",VLOOKUP(A11,'Estado SCI'!$A$16:$G$59,7,0))</f>
        <v>Si</v>
      </c>
      <c r="J11" s="148">
        <f t="shared" si="2"/>
        <v>1</v>
      </c>
      <c r="K11" s="149">
        <f t="shared" si="1"/>
        <v>0.625</v>
      </c>
    </row>
    <row r="12" spans="1:11" x14ac:dyDescent="0.25">
      <c r="A12" s="147" t="s">
        <v>153</v>
      </c>
      <c r="B12" s="147" t="s">
        <v>32</v>
      </c>
      <c r="C12" s="147" t="s">
        <v>33</v>
      </c>
      <c r="D12" s="147" t="s">
        <v>56</v>
      </c>
      <c r="E12" s="147" t="s">
        <v>57</v>
      </c>
      <c r="F12" s="147" t="str">
        <f>+VLOOKUP(A12,'Estado SCI'!$A$16:$I$59,9,0)</f>
        <v>Deficiencia de control</v>
      </c>
      <c r="G12" s="147">
        <f>+VLOOKUP(A12,'Estado SCI'!$A$16:$L$59,12,0)</f>
        <v>0.12345678912345</v>
      </c>
      <c r="H12" s="147">
        <f t="shared" si="0"/>
        <v>2</v>
      </c>
      <c r="I12" s="147" t="str">
        <f>+IF(VLOOKUP(A12,'Estado SCI'!$A$16:$G$59,7,0)="","",VLOOKUP(A12,'Estado SCI'!$A$16:$G$59,7,0))</f>
        <v>No</v>
      </c>
      <c r="J12" s="148">
        <f t="shared" si="2"/>
        <v>0</v>
      </c>
      <c r="K12" s="149">
        <f t="shared" si="1"/>
        <v>0.625</v>
      </c>
    </row>
    <row r="13" spans="1:11" x14ac:dyDescent="0.25">
      <c r="A13" s="147" t="s">
        <v>154</v>
      </c>
      <c r="B13" s="147" t="s">
        <v>32</v>
      </c>
      <c r="C13" s="147" t="s">
        <v>33</v>
      </c>
      <c r="D13" s="147" t="s">
        <v>58</v>
      </c>
      <c r="E13" s="147" t="s">
        <v>59</v>
      </c>
      <c r="F13" s="147" t="str">
        <f>+VLOOKUP(A13,'Estado SCI'!$A$16:$I$59,9,0)</f>
        <v>Mantenimiento del control</v>
      </c>
      <c r="G13" s="147">
        <f>+VLOOKUP(A13,'Estado SCI'!$A$16:$L$59,12,0)</f>
        <v>20.123456789123455</v>
      </c>
      <c r="H13" s="147">
        <f t="shared" si="0"/>
        <v>12</v>
      </c>
      <c r="I13" s="147" t="str">
        <f>+IF(VLOOKUP(A13,'Estado SCI'!$A$16:$G$59,7,0)="","",VLOOKUP(A13,'Estado SCI'!$A$16:$G$59,7,0))</f>
        <v>Si</v>
      </c>
      <c r="J13" s="148">
        <f t="shared" si="2"/>
        <v>1</v>
      </c>
      <c r="K13" s="149">
        <f t="shared" si="1"/>
        <v>0.625</v>
      </c>
    </row>
    <row r="14" spans="1:11" ht="15" customHeight="1" x14ac:dyDescent="0.25">
      <c r="A14" s="147" t="s">
        <v>155</v>
      </c>
      <c r="B14" s="147" t="str">
        <f>+VLOOKUP(A14,'Estado SCI'!$A$16:$C$59,3,0)</f>
        <v>EVALUACION DEL RIESGO</v>
      </c>
      <c r="C14" s="147" t="s">
        <v>62</v>
      </c>
      <c r="D14" s="147" t="s">
        <v>34</v>
      </c>
      <c r="E14" s="147" t="s">
        <v>156</v>
      </c>
      <c r="F14" s="147" t="str">
        <f>+VLOOKUP(A14,'Estado SCI'!$A$16:$I$59,9,0)</f>
        <v>Deficiencia de control</v>
      </c>
      <c r="G14" s="147">
        <f>+VLOOKUP(A14,'Estado SCI'!$A$16:$L$59,12,0)</f>
        <v>20.23</v>
      </c>
      <c r="H14" s="147">
        <f t="shared" si="0"/>
        <v>13</v>
      </c>
      <c r="I14" s="147" t="str">
        <f>+IF(VLOOKUP(A14,'Estado SCI'!$A$16:$G$59,7,0)="","",VLOOKUP(A14,'Estado SCI'!$A$16:$G$59,7,0))</f>
        <v>No</v>
      </c>
      <c r="J14" s="148">
        <f t="shared" si="2"/>
        <v>0</v>
      </c>
      <c r="K14" s="149">
        <f t="shared" si="1"/>
        <v>0.45</v>
      </c>
    </row>
    <row r="15" spans="1:11" ht="15" customHeight="1" x14ac:dyDescent="0.25">
      <c r="A15" s="147" t="s">
        <v>157</v>
      </c>
      <c r="B15" s="147" t="s">
        <v>61</v>
      </c>
      <c r="C15" s="147" t="s">
        <v>62</v>
      </c>
      <c r="D15" s="147" t="s">
        <v>37</v>
      </c>
      <c r="E15" s="147" t="s">
        <v>158</v>
      </c>
      <c r="F15" s="147" t="str">
        <f>+VLOOKUP(A15,'Estado SCI'!$A$16:$I$59,9,0)</f>
        <v>Deficiencia de control</v>
      </c>
      <c r="G15" s="147">
        <f>+VLOOKUP(A15,'Estado SCI'!$A$16:$L$59,12,0)</f>
        <v>20.234000000000002</v>
      </c>
      <c r="H15" s="147">
        <f t="shared" si="0"/>
        <v>14</v>
      </c>
      <c r="I15" s="147" t="str">
        <f>+IF(VLOOKUP(A15,'Estado SCI'!$A$16:$G$59,7,0)="","",VLOOKUP(A15,'Estado SCI'!$A$16:$G$59,7,0))</f>
        <v>No</v>
      </c>
      <c r="J15" s="148">
        <f t="shared" si="2"/>
        <v>0</v>
      </c>
      <c r="K15" s="149">
        <f t="shared" si="1"/>
        <v>0.45</v>
      </c>
    </row>
    <row r="16" spans="1:11" ht="15" customHeight="1" x14ac:dyDescent="0.25">
      <c r="A16" s="147" t="s">
        <v>159</v>
      </c>
      <c r="B16" s="147" t="s">
        <v>61</v>
      </c>
      <c r="C16" s="147" t="s">
        <v>62</v>
      </c>
      <c r="D16" s="147" t="s">
        <v>40</v>
      </c>
      <c r="E16" s="147" t="s">
        <v>160</v>
      </c>
      <c r="F16" s="147" t="str">
        <f>+VLOOKUP(A16,'Estado SCI'!$A$16:$I$59,9,0)</f>
        <v>Mantenimiento del control</v>
      </c>
      <c r="G16" s="147">
        <f>+VLOOKUP(A16,'Estado SCI'!$A$16:$L$59,12,0)</f>
        <v>40.234499999999997</v>
      </c>
      <c r="H16" s="147">
        <f t="shared" si="0"/>
        <v>20</v>
      </c>
      <c r="I16" s="147" t="str">
        <f>+IF(VLOOKUP(A16,'Estado SCI'!$A$16:$G$59,7,0)="","",VLOOKUP(A16,'Estado SCI'!$A$16:$G$59,7,0))</f>
        <v>Si</v>
      </c>
      <c r="J16" s="148">
        <f t="shared" si="2"/>
        <v>1</v>
      </c>
      <c r="K16" s="149">
        <f t="shared" si="1"/>
        <v>0.45</v>
      </c>
    </row>
    <row r="17" spans="1:11" ht="15.75" customHeight="1" x14ac:dyDescent="0.25">
      <c r="A17" s="147" t="s">
        <v>161</v>
      </c>
      <c r="B17" s="147" t="s">
        <v>61</v>
      </c>
      <c r="C17" s="147" t="s">
        <v>62</v>
      </c>
      <c r="D17" s="147" t="s">
        <v>42</v>
      </c>
      <c r="E17" s="147" t="s">
        <v>66</v>
      </c>
      <c r="F17" s="147" t="str">
        <f>+VLOOKUP(A17,'Estado SCI'!$A$16:$I$59,9,0)</f>
        <v>Deficiencia de control</v>
      </c>
      <c r="G17" s="147">
        <f>+VLOOKUP(A17,'Estado SCI'!$A$16:$L$59,12,0)</f>
        <v>20.234559999999998</v>
      </c>
      <c r="H17" s="147">
        <f t="shared" si="0"/>
        <v>15</v>
      </c>
      <c r="I17" s="147" t="str">
        <f>+IF(VLOOKUP(A17,'Estado SCI'!$A$16:$G$59,7,0)="","",VLOOKUP(A17,'Estado SCI'!$A$16:$G$59,7,0))</f>
        <v>No</v>
      </c>
      <c r="J17" s="148">
        <f t="shared" si="2"/>
        <v>0</v>
      </c>
      <c r="K17" s="149">
        <f t="shared" si="1"/>
        <v>0.45</v>
      </c>
    </row>
    <row r="18" spans="1:11" ht="15" customHeight="1" x14ac:dyDescent="0.25">
      <c r="A18" s="147" t="s">
        <v>162</v>
      </c>
      <c r="B18" s="147" t="s">
        <v>61</v>
      </c>
      <c r="C18" s="147" t="s">
        <v>80</v>
      </c>
      <c r="D18" s="147" t="s">
        <v>34</v>
      </c>
      <c r="E18" s="147" t="s">
        <v>69</v>
      </c>
      <c r="F18" s="147" t="str">
        <f>+VLOOKUP(A18,'Estado SCI'!$A$16:$I$59,9,0)</f>
        <v>Oportunidad de mejora</v>
      </c>
      <c r="G18" s="147">
        <f>+VLOOKUP(A18,'Estado SCI'!$A$16:$L$59,12,0)</f>
        <v>30.234566999999998</v>
      </c>
      <c r="H18" s="147">
        <f t="shared" si="0"/>
        <v>17</v>
      </c>
      <c r="I18" s="147" t="str">
        <f>+IF(VLOOKUP(A18,'Estado SCI'!$A$16:$G$59,7,0)="","",VLOOKUP(A18,'Estado SCI'!$A$16:$G$59,7,0))</f>
        <v>En proceso</v>
      </c>
      <c r="J18" s="148">
        <f t="shared" si="2"/>
        <v>0.5</v>
      </c>
      <c r="K18" s="149">
        <f t="shared" si="1"/>
        <v>0.45</v>
      </c>
    </row>
    <row r="19" spans="1:11" ht="15" customHeight="1" x14ac:dyDescent="0.25">
      <c r="A19" s="147" t="s">
        <v>163</v>
      </c>
      <c r="B19" s="147" t="s">
        <v>61</v>
      </c>
      <c r="C19" s="147" t="s">
        <v>80</v>
      </c>
      <c r="D19" s="147" t="s">
        <v>37</v>
      </c>
      <c r="E19" s="147" t="s">
        <v>70</v>
      </c>
      <c r="F19" s="147" t="str">
        <f>+VLOOKUP(A19,'Estado SCI'!$A$16:$I$59,9,0)</f>
        <v>Oportunidad de mejora</v>
      </c>
      <c r="G19" s="147">
        <f>+VLOOKUP(A19,'Estado SCI'!$A$16:$L$59,12,0)</f>
        <v>30.234567800000001</v>
      </c>
      <c r="H19" s="147">
        <f t="shared" si="0"/>
        <v>18</v>
      </c>
      <c r="I19" s="147" t="str">
        <f>+IF(VLOOKUP(A19,'Estado SCI'!$A$16:$G$59,7,0)="","",VLOOKUP(A19,'Estado SCI'!$A$16:$G$59,7,0))</f>
        <v>En proceso</v>
      </c>
      <c r="J19" s="148">
        <f t="shared" si="2"/>
        <v>0.5</v>
      </c>
      <c r="K19" s="149">
        <f t="shared" si="1"/>
        <v>0.45</v>
      </c>
    </row>
    <row r="20" spans="1:11" ht="15" customHeight="1" x14ac:dyDescent="0.25">
      <c r="A20" s="147" t="s">
        <v>164</v>
      </c>
      <c r="B20" s="147" t="s">
        <v>61</v>
      </c>
      <c r="C20" s="147" t="s">
        <v>80</v>
      </c>
      <c r="D20" s="147" t="s">
        <v>40</v>
      </c>
      <c r="E20" s="147" t="s">
        <v>71</v>
      </c>
      <c r="F20" s="147" t="str">
        <f>+VLOOKUP(A20,'Estado SCI'!$A$16:$I$59,9,0)</f>
        <v>Deficiencia de control</v>
      </c>
      <c r="G20" s="147">
        <f>+VLOOKUP(A20,'Estado SCI'!$A$16:$L$59,12,0)</f>
        <v>20.234567890000001</v>
      </c>
      <c r="H20" s="147">
        <f t="shared" si="0"/>
        <v>16</v>
      </c>
      <c r="I20" s="147" t="str">
        <f>+IF(VLOOKUP(A20,'Estado SCI'!$A$16:$G$59,7,0)="","",VLOOKUP(A20,'Estado SCI'!$A$16:$G$59,7,0))</f>
        <v>No</v>
      </c>
      <c r="J20" s="148">
        <f t="shared" si="2"/>
        <v>0</v>
      </c>
      <c r="K20" s="149">
        <f t="shared" si="1"/>
        <v>0.45</v>
      </c>
    </row>
    <row r="21" spans="1:11" ht="15.75" customHeight="1" x14ac:dyDescent="0.25">
      <c r="A21" s="147" t="s">
        <v>165</v>
      </c>
      <c r="B21" s="147" t="s">
        <v>61</v>
      </c>
      <c r="C21" s="147" t="s">
        <v>80</v>
      </c>
      <c r="D21" s="147" t="s">
        <v>34</v>
      </c>
      <c r="E21" s="147" t="s">
        <v>74</v>
      </c>
      <c r="F21" s="147" t="str">
        <f>+VLOOKUP(A21,'Estado SCI'!$A$16:$I$59,9,0)</f>
        <v>Mantenimiento del control</v>
      </c>
      <c r="G21" s="147">
        <f>+VLOOKUP(A21,'Estado SCI'!$A$16:$L$59,12,0)</f>
        <v>40.234567891200001</v>
      </c>
      <c r="H21" s="147">
        <f t="shared" si="0"/>
        <v>21</v>
      </c>
      <c r="I21" s="147" t="str">
        <f>+IF(VLOOKUP(A21,'Estado SCI'!$A$16:$G$59,7,0)="","",VLOOKUP(A21,'Estado SCI'!$A$16:$G$59,7,0))</f>
        <v>Si</v>
      </c>
      <c r="J21" s="148">
        <f t="shared" si="2"/>
        <v>1</v>
      </c>
      <c r="K21" s="149">
        <f t="shared" si="1"/>
        <v>0.45</v>
      </c>
    </row>
    <row r="22" spans="1:11" ht="15" customHeight="1" x14ac:dyDescent="0.25">
      <c r="A22" s="147" t="s">
        <v>166</v>
      </c>
      <c r="B22" s="147" t="s">
        <v>61</v>
      </c>
      <c r="C22" s="147" t="s">
        <v>88</v>
      </c>
      <c r="D22" s="147" t="s">
        <v>37</v>
      </c>
      <c r="E22" s="147" t="s">
        <v>75</v>
      </c>
      <c r="F22" s="147" t="str">
        <f>+VLOOKUP(A22,'Estado SCI'!$A$16:$I$59,9,0)</f>
        <v>Oportunidad de mejora</v>
      </c>
      <c r="G22" s="147">
        <f>+VLOOKUP(A22,'Estado SCI'!$A$16:$L$59,12,0)</f>
        <v>30.23456789123</v>
      </c>
      <c r="H22" s="147">
        <f t="shared" si="0"/>
        <v>19</v>
      </c>
      <c r="I22" s="147" t="str">
        <f>+IF(VLOOKUP(A22,'Estado SCI'!$A$16:$G$59,7,0)="","",VLOOKUP(A22,'Estado SCI'!$A$16:$G$59,7,0))</f>
        <v>En proceso</v>
      </c>
      <c r="J22" s="148">
        <f t="shared" si="2"/>
        <v>0.5</v>
      </c>
      <c r="K22" s="149">
        <f t="shared" si="1"/>
        <v>0.45</v>
      </c>
    </row>
    <row r="23" spans="1:11" ht="15" customHeight="1" x14ac:dyDescent="0.25">
      <c r="A23" s="147" t="s">
        <v>167</v>
      </c>
      <c r="B23" s="147" t="s">
        <v>61</v>
      </c>
      <c r="C23" s="147" t="s">
        <v>88</v>
      </c>
      <c r="D23" s="147" t="s">
        <v>40</v>
      </c>
      <c r="E23" s="147" t="s">
        <v>77</v>
      </c>
      <c r="F23" s="147" t="str">
        <f>+VLOOKUP(A23,'Estado SCI'!$A$16:$I$59,9,0)</f>
        <v>Mantenimiento del control</v>
      </c>
      <c r="G23" s="147">
        <f>+VLOOKUP(A23,'Estado SCI'!$A$16:$L$59,12,0)</f>
        <v>40.234567891234001</v>
      </c>
      <c r="H23" s="147">
        <f t="shared" si="0"/>
        <v>22</v>
      </c>
      <c r="I23" s="147" t="str">
        <f>+IF(VLOOKUP(A23,'Estado SCI'!$A$16:$G$59,7,0)="","",VLOOKUP(A23,'Estado SCI'!$A$16:$G$59,7,0))</f>
        <v>Si</v>
      </c>
      <c r="J23" s="148">
        <f t="shared" si="2"/>
        <v>1</v>
      </c>
      <c r="K23" s="149">
        <f t="shared" si="1"/>
        <v>0.45</v>
      </c>
    </row>
    <row r="24" spans="1:11" ht="15" customHeight="1" x14ac:dyDescent="0.25">
      <c r="A24" s="147" t="s">
        <v>168</v>
      </c>
      <c r="B24" s="147" t="str">
        <f>+VLOOKUP(A24,'Estado SCI'!$A$16:$C$59,3,0)</f>
        <v>ACTIVIDADES DE CONTROL</v>
      </c>
      <c r="C24" s="147" t="s">
        <v>88</v>
      </c>
      <c r="D24" s="147" t="s">
        <v>34</v>
      </c>
      <c r="E24" s="147" t="s">
        <v>81</v>
      </c>
      <c r="F24" s="147" t="str">
        <f>+VLOOKUP(A24,'Estado SCI'!$A$16:$I$59,9,0)</f>
        <v>Oportunidad de mejora</v>
      </c>
      <c r="G24" s="147">
        <f>+VLOOKUP(A24,'Estado SCI'!$A$16:$L$59,12,0)</f>
        <v>50.31</v>
      </c>
      <c r="H24" s="147">
        <f t="shared" si="0"/>
        <v>24</v>
      </c>
      <c r="I24" s="147" t="str">
        <f>+IF(VLOOKUP(A24,'Estado SCI'!$A$16:$G$59,7,0)="","",VLOOKUP(A24,'Estado SCI'!$A$16:$G$59,7,0))</f>
        <v>En proceso</v>
      </c>
      <c r="J24" s="148">
        <f t="shared" si="2"/>
        <v>0.5</v>
      </c>
      <c r="K24" s="149">
        <f t="shared" si="1"/>
        <v>0.5</v>
      </c>
    </row>
    <row r="25" spans="1:11" ht="15" customHeight="1" x14ac:dyDescent="0.25">
      <c r="A25" s="147" t="s">
        <v>169</v>
      </c>
      <c r="B25" s="147" t="s">
        <v>79</v>
      </c>
      <c r="C25" s="147" t="s">
        <v>88</v>
      </c>
      <c r="D25" s="147" t="s">
        <v>37</v>
      </c>
      <c r="E25" s="147" t="s">
        <v>82</v>
      </c>
      <c r="F25" s="147" t="str">
        <f>+VLOOKUP(A25,'Estado SCI'!$A$16:$I$59,9,0)</f>
        <v>Oportunidad de mejora</v>
      </c>
      <c r="G25" s="147">
        <f>+VLOOKUP(A25,'Estado SCI'!$A$16:$L$59,12,0)</f>
        <v>50.323</v>
      </c>
      <c r="H25" s="147">
        <f t="shared" si="0"/>
        <v>25</v>
      </c>
      <c r="I25" s="147" t="str">
        <f>+IF(VLOOKUP(A25,'Estado SCI'!$A$16:$G$59,7,0)="","",VLOOKUP(A25,'Estado SCI'!$A$16:$G$59,7,0))</f>
        <v>En proceso</v>
      </c>
      <c r="J25" s="148">
        <f t="shared" si="2"/>
        <v>0.5</v>
      </c>
      <c r="K25" s="149">
        <f t="shared" si="1"/>
        <v>0.5</v>
      </c>
    </row>
    <row r="26" spans="1:11" ht="15" customHeight="1" x14ac:dyDescent="0.25">
      <c r="A26" s="147" t="s">
        <v>170</v>
      </c>
      <c r="B26" s="147" t="s">
        <v>79</v>
      </c>
      <c r="C26" s="147" t="s">
        <v>88</v>
      </c>
      <c r="D26" s="147" t="s">
        <v>40</v>
      </c>
      <c r="E26" s="147" t="s">
        <v>83</v>
      </c>
      <c r="F26" s="147" t="str">
        <f>+VLOOKUP(A26,'Estado SCI'!$A$16:$I$59,9,0)</f>
        <v>Oportunidad de mejora</v>
      </c>
      <c r="G26" s="147">
        <f>+VLOOKUP(A26,'Estado SCI'!$A$16:$L$59,12,0)</f>
        <v>50.323999999999998</v>
      </c>
      <c r="H26" s="147">
        <f t="shared" si="0"/>
        <v>26</v>
      </c>
      <c r="I26" s="147" t="str">
        <f>+IF(VLOOKUP(A26,'Estado SCI'!$A$16:$G$59,7,0)="","",VLOOKUP(A26,'Estado SCI'!$A$16:$G$59,7,0))</f>
        <v>En proceso</v>
      </c>
      <c r="J26" s="148">
        <f t="shared" si="2"/>
        <v>0.5</v>
      </c>
      <c r="K26" s="149">
        <f t="shared" si="1"/>
        <v>0.5</v>
      </c>
    </row>
    <row r="27" spans="1:11" ht="15.75" customHeight="1" x14ac:dyDescent="0.25">
      <c r="A27" s="147" t="s">
        <v>171</v>
      </c>
      <c r="B27" s="147" t="s">
        <v>79</v>
      </c>
      <c r="C27" s="147" t="s">
        <v>88</v>
      </c>
      <c r="D27" s="147" t="s">
        <v>42</v>
      </c>
      <c r="E27" s="147" t="s">
        <v>84</v>
      </c>
      <c r="F27" s="147" t="str">
        <f>+VLOOKUP(A27,'Estado SCI'!$A$16:$I$59,9,0)</f>
        <v>Deficiencia de control</v>
      </c>
      <c r="G27" s="147">
        <f>+VLOOKUP(A27,'Estado SCI'!$A$16:$L$59,12,0)</f>
        <v>40.325000000000003</v>
      </c>
      <c r="H27" s="147">
        <f t="shared" si="0"/>
        <v>23</v>
      </c>
      <c r="I27" s="147" t="str">
        <f>+IF(VLOOKUP(A27,'Estado SCI'!$A$16:$G$59,7,0)="","",VLOOKUP(A27,'Estado SCI'!$A$16:$G$59,7,0))</f>
        <v>No</v>
      </c>
      <c r="J27" s="148">
        <f t="shared" si="2"/>
        <v>0</v>
      </c>
      <c r="K27" s="149">
        <f t="shared" si="1"/>
        <v>0.5</v>
      </c>
    </row>
    <row r="28" spans="1:11" ht="15" customHeight="1" x14ac:dyDescent="0.25">
      <c r="A28" s="147" t="s">
        <v>172</v>
      </c>
      <c r="B28" s="147" t="s">
        <v>79</v>
      </c>
      <c r="C28" s="147" t="s">
        <v>98</v>
      </c>
      <c r="D28" s="147" t="s">
        <v>44</v>
      </c>
      <c r="E28" s="147" t="s">
        <v>85</v>
      </c>
      <c r="F28" s="147" t="str">
        <f>+VLOOKUP(A28,'Estado SCI'!$A$16:$I$59,9,0)</f>
        <v>Mantenimiento del control</v>
      </c>
      <c r="G28" s="147">
        <f>+VLOOKUP(A28,'Estado SCI'!$A$16:$L$59,12,0)</f>
        <v>60.326000000000001</v>
      </c>
      <c r="H28" s="147">
        <f t="shared" si="0"/>
        <v>27</v>
      </c>
      <c r="I28" s="147" t="str">
        <f>+IF(VLOOKUP(A28,'Estado SCI'!$A$16:$G$59,7,0)="","",VLOOKUP(A28,'Estado SCI'!$A$16:$G$59,7,0))</f>
        <v>Si</v>
      </c>
      <c r="J28" s="148">
        <f t="shared" si="2"/>
        <v>1</v>
      </c>
      <c r="K28" s="149">
        <f t="shared" si="1"/>
        <v>0.5</v>
      </c>
    </row>
    <row r="29" spans="1:11" ht="15" customHeight="1" x14ac:dyDescent="0.25">
      <c r="A29" s="147" t="s">
        <v>173</v>
      </c>
      <c r="B29" s="147" t="str">
        <f>+VLOOKUP(A29,'Estado SCI'!$A$16:$C$59,3,0)</f>
        <v>INFORMACION Y COMUNICACIÓN</v>
      </c>
      <c r="C29" s="147" t="s">
        <v>98</v>
      </c>
      <c r="D29" s="147" t="s">
        <v>34</v>
      </c>
      <c r="E29" s="147" t="s">
        <v>89</v>
      </c>
      <c r="F29" s="147" t="str">
        <f>+VLOOKUP(A29,'Estado SCI'!$A$16:$I$59,9,0)</f>
        <v>Mantenimiento del control</v>
      </c>
      <c r="G29" s="147">
        <f>+VLOOKUP(A29,'Estado SCI'!$A$16:$L$59,12,0)</f>
        <v>80.412000000000006</v>
      </c>
      <c r="H29" s="147">
        <f t="shared" si="0"/>
        <v>29</v>
      </c>
      <c r="I29" s="147" t="str">
        <f>+IF(VLOOKUP(A29,'Estado SCI'!$A$16:$G$59,7,0)="","",VLOOKUP(A29,'Estado SCI'!$A$16:$G$59,7,0))</f>
        <v>Si</v>
      </c>
      <c r="J29" s="148">
        <f t="shared" si="2"/>
        <v>1</v>
      </c>
      <c r="K29" s="149">
        <f t="shared" si="1"/>
        <v>0.9285714285714286</v>
      </c>
    </row>
    <row r="30" spans="1:11" ht="15" customHeight="1" x14ac:dyDescent="0.25">
      <c r="A30" s="147" t="s">
        <v>174</v>
      </c>
      <c r="B30" s="147" t="s">
        <v>87</v>
      </c>
      <c r="C30" s="147" t="s">
        <v>98</v>
      </c>
      <c r="D30" s="147" t="s">
        <v>37</v>
      </c>
      <c r="E30" s="147" t="s">
        <v>90</v>
      </c>
      <c r="F30" s="147" t="str">
        <f>+VLOOKUP(A30,'Estado SCI'!$A$16:$I$59,9,0)</f>
        <v>Mantenimiento del control</v>
      </c>
      <c r="G30" s="147">
        <f>+VLOOKUP(A30,'Estado SCI'!$A$16:$L$59,12,0)</f>
        <v>80.412300000000002</v>
      </c>
      <c r="H30" s="147">
        <f t="shared" si="0"/>
        <v>30</v>
      </c>
      <c r="I30" s="147" t="str">
        <f>+IF(VLOOKUP(A30,'Estado SCI'!$A$16:$G$59,7,0)="","",VLOOKUP(A30,'Estado SCI'!$A$16:$G$59,7,0))</f>
        <v>Si</v>
      </c>
      <c r="J30" s="148">
        <f t="shared" si="2"/>
        <v>1</v>
      </c>
      <c r="K30" s="149">
        <f t="shared" si="1"/>
        <v>0.9285714285714286</v>
      </c>
    </row>
    <row r="31" spans="1:11" ht="15.75" customHeight="1" x14ac:dyDescent="0.25">
      <c r="A31" s="147" t="s">
        <v>175</v>
      </c>
      <c r="B31" s="147" t="s">
        <v>87</v>
      </c>
      <c r="C31" s="147" t="s">
        <v>98</v>
      </c>
      <c r="D31" s="147" t="s">
        <v>40</v>
      </c>
      <c r="E31" s="147" t="s">
        <v>91</v>
      </c>
      <c r="F31" s="147" t="str">
        <f>+VLOOKUP(A31,'Estado SCI'!$A$16:$I$59,9,0)</f>
        <v>Mantenimiento del control</v>
      </c>
      <c r="G31" s="147">
        <f>+VLOOKUP(A31,'Estado SCI'!$A$16:$L$59,12,0)</f>
        <v>80.41234</v>
      </c>
      <c r="H31" s="147">
        <f t="shared" si="0"/>
        <v>31</v>
      </c>
      <c r="I31" s="147" t="str">
        <f>+IF(VLOOKUP(A31,'Estado SCI'!$A$16:$G$59,7,0)="","",VLOOKUP(A31,'Estado SCI'!$A$16:$G$59,7,0))</f>
        <v>Si</v>
      </c>
      <c r="J31" s="148">
        <f t="shared" si="2"/>
        <v>1</v>
      </c>
      <c r="K31" s="149">
        <f t="shared" si="1"/>
        <v>0.9285714285714286</v>
      </c>
    </row>
    <row r="32" spans="1:11" x14ac:dyDescent="0.25">
      <c r="A32" s="147" t="s">
        <v>176</v>
      </c>
      <c r="B32" s="147" t="s">
        <v>87</v>
      </c>
      <c r="C32" s="147" t="s">
        <v>104</v>
      </c>
      <c r="D32" s="147" t="s">
        <v>42</v>
      </c>
      <c r="E32" s="147" t="s">
        <v>92</v>
      </c>
      <c r="F32" s="147" t="str">
        <f>+VLOOKUP(A32,'Estado SCI'!$A$16:$I$59,9,0)</f>
        <v>Mantenimiento del control</v>
      </c>
      <c r="G32" s="147">
        <f>+VLOOKUP(A32,'Estado SCI'!$A$16:$L$59,12,0)</f>
        <v>80.412345000000002</v>
      </c>
      <c r="H32" s="147">
        <f t="shared" si="0"/>
        <v>32</v>
      </c>
      <c r="I32" s="147" t="str">
        <f>+IF(VLOOKUP(A32,'Estado SCI'!$A$16:$G$59,7,0)="","",VLOOKUP(A32,'Estado SCI'!$A$16:$G$59,7,0))</f>
        <v>Si</v>
      </c>
      <c r="J32" s="148">
        <f t="shared" si="2"/>
        <v>1</v>
      </c>
      <c r="K32" s="149">
        <f t="shared" si="1"/>
        <v>0.9285714285714286</v>
      </c>
    </row>
    <row r="33" spans="1:11" x14ac:dyDescent="0.25">
      <c r="A33" s="147" t="s">
        <v>177</v>
      </c>
      <c r="B33" s="147" t="s">
        <v>87</v>
      </c>
      <c r="C33" s="147" t="s">
        <v>178</v>
      </c>
      <c r="D33" s="147" t="s">
        <v>44</v>
      </c>
      <c r="E33" s="147" t="s">
        <v>93</v>
      </c>
      <c r="F33" s="147" t="str">
        <f>+VLOOKUP(A33,'Estado SCI'!$A$16:$I$59,9,0)</f>
        <v>Mantenimiento del control</v>
      </c>
      <c r="G33" s="147">
        <f>+VLOOKUP(A33,'Estado SCI'!$A$16:$L$59,12,0)</f>
        <v>80.412345599999995</v>
      </c>
      <c r="H33" s="147">
        <f t="shared" si="0"/>
        <v>33</v>
      </c>
      <c r="I33" s="147" t="str">
        <f>+IF(VLOOKUP(A33,'Estado SCI'!$A$16:$G$59,7,0)="","",VLOOKUP(A33,'Estado SCI'!$A$16:$G$59,7,0))</f>
        <v>Si</v>
      </c>
      <c r="J33" s="148">
        <f t="shared" si="2"/>
        <v>1</v>
      </c>
      <c r="K33" s="149">
        <f t="shared" si="1"/>
        <v>0.9285714285714286</v>
      </c>
    </row>
    <row r="34" spans="1:11" x14ac:dyDescent="0.25">
      <c r="A34" s="147" t="s">
        <v>179</v>
      </c>
      <c r="B34" s="147" t="s">
        <v>87</v>
      </c>
      <c r="C34" s="147" t="s">
        <v>178</v>
      </c>
      <c r="D34" s="147" t="s">
        <v>46</v>
      </c>
      <c r="E34" s="147" t="s">
        <v>94</v>
      </c>
      <c r="F34" s="147" t="str">
        <f>+VLOOKUP(A34,'Estado SCI'!$A$16:$I$59,9,0)</f>
        <v>Oportunidad de mejora</v>
      </c>
      <c r="G34" s="147">
        <f>+VLOOKUP(A34,'Estado SCI'!$A$16:$L$59,12,0)</f>
        <v>70.412345669999993</v>
      </c>
      <c r="H34" s="147">
        <f t="shared" si="0"/>
        <v>28</v>
      </c>
      <c r="I34" s="147" t="str">
        <f>+IF(VLOOKUP(A34,'Estado SCI'!$A$16:$G$59,7,0)="","",VLOOKUP(A34,'Estado SCI'!$A$16:$G$59,7,0))</f>
        <v>En proceso</v>
      </c>
      <c r="J34" s="148">
        <f t="shared" si="2"/>
        <v>0.5</v>
      </c>
      <c r="K34" s="149">
        <f t="shared" si="1"/>
        <v>0.9285714285714286</v>
      </c>
    </row>
    <row r="35" spans="1:11" x14ac:dyDescent="0.25">
      <c r="A35" s="147" t="s">
        <v>180</v>
      </c>
      <c r="B35" s="147" t="s">
        <v>87</v>
      </c>
      <c r="C35" s="147" t="s">
        <v>178</v>
      </c>
      <c r="D35" s="147" t="s">
        <v>48</v>
      </c>
      <c r="E35" s="147" t="s">
        <v>95</v>
      </c>
      <c r="F35" s="147" t="str">
        <f>+VLOOKUP(A35,'Estado SCI'!$A$16:$I$59,9,0)</f>
        <v>Mantenimiento del control</v>
      </c>
      <c r="G35" s="147">
        <f>+VLOOKUP(A35,'Estado SCI'!$A$16:$L$59,12,0)</f>
        <v>80.412345677999994</v>
      </c>
      <c r="H35" s="147">
        <f t="shared" si="0"/>
        <v>34</v>
      </c>
      <c r="I35" s="147" t="str">
        <f>+IF(VLOOKUP(A35,'Estado SCI'!$A$16:$G$59,7,0)="","",VLOOKUP(A35,'Estado SCI'!$A$16:$G$59,7,0))</f>
        <v>Si</v>
      </c>
      <c r="J35" s="148">
        <f t="shared" si="2"/>
        <v>1</v>
      </c>
      <c r="K35" s="149">
        <f t="shared" si="1"/>
        <v>0.9285714285714286</v>
      </c>
    </row>
    <row r="36" spans="1:11" x14ac:dyDescent="0.25">
      <c r="A36" s="147" t="s">
        <v>181</v>
      </c>
      <c r="B36" s="147" t="str">
        <f>+VLOOKUP(A36,'Estado SCI'!$A$16:$C$59,3,0)</f>
        <v>ACTIVIDADES DE MONITOREO</v>
      </c>
      <c r="C36" s="147" t="s">
        <v>178</v>
      </c>
      <c r="D36" s="147" t="s">
        <v>34</v>
      </c>
      <c r="E36" s="147" t="s">
        <v>99</v>
      </c>
      <c r="F36" s="147" t="str">
        <f>+VLOOKUP(A36,'Estado SCI'!$A$16:$I$59,9,0)</f>
        <v>Mantenimiento del control</v>
      </c>
      <c r="G36" s="147">
        <f>+VLOOKUP(A36,'Estado SCI'!$A$16:$L$59,12,0)</f>
        <v>120.851</v>
      </c>
      <c r="H36" s="147">
        <f t="shared" si="0"/>
        <v>43</v>
      </c>
      <c r="I36" s="147" t="str">
        <f>+IF(VLOOKUP(A36,'Estado SCI'!$A$16:$G$59,7,0)="","",VLOOKUP(A36,'Estado SCI'!$A$16:$G$59,7,0))</f>
        <v>Si</v>
      </c>
      <c r="J36" s="148">
        <f t="shared" si="2"/>
        <v>1</v>
      </c>
      <c r="K36" s="149">
        <f t="shared" si="1"/>
        <v>0.35</v>
      </c>
    </row>
    <row r="37" spans="1:11" x14ac:dyDescent="0.25">
      <c r="A37" s="147" t="s">
        <v>182</v>
      </c>
      <c r="B37" s="147" t="s">
        <v>97</v>
      </c>
      <c r="C37" s="147" t="s">
        <v>178</v>
      </c>
      <c r="D37" s="147" t="s">
        <v>42</v>
      </c>
      <c r="E37" s="147" t="s">
        <v>100</v>
      </c>
      <c r="F37" s="147" t="str">
        <f>+VLOOKUP(A37,'Estado SCI'!$A$16:$I$59,9,0)</f>
        <v>Mantenimiento del control</v>
      </c>
      <c r="G37" s="147">
        <f>+VLOOKUP(A37,'Estado SCI'!$A$16:$L$59,12,0)</f>
        <v>120.85120000000001</v>
      </c>
      <c r="H37" s="147">
        <f t="shared" si="0"/>
        <v>44</v>
      </c>
      <c r="I37" s="147" t="str">
        <f>+IF(VLOOKUP(A37,'Estado SCI'!$A$16:$G$59,7,0)="","",VLOOKUP(A37,'Estado SCI'!$A$16:$G$59,7,0))</f>
        <v>Si</v>
      </c>
      <c r="J37" s="148">
        <f t="shared" si="2"/>
        <v>1</v>
      </c>
      <c r="K37" s="149">
        <f t="shared" si="1"/>
        <v>0.35</v>
      </c>
    </row>
    <row r="38" spans="1:11" x14ac:dyDescent="0.25">
      <c r="A38" s="147" t="s">
        <v>183</v>
      </c>
      <c r="B38" s="147" t="s">
        <v>97</v>
      </c>
      <c r="C38" s="147" t="s">
        <v>68</v>
      </c>
      <c r="D38" s="147" t="s">
        <v>46</v>
      </c>
      <c r="E38" s="147" t="s">
        <v>101</v>
      </c>
      <c r="F38" s="147" t="str">
        <f>+VLOOKUP(A38,'Estado SCI'!$A$16:$I$59,9,0)</f>
        <v>Deficiencia de control</v>
      </c>
      <c r="G38" s="147">
        <f>+VLOOKUP(A38,'Estado SCI'!$A$16:$L$59,12,0)</f>
        <v>80.851230000000001</v>
      </c>
      <c r="H38" s="147">
        <f t="shared" si="0"/>
        <v>35</v>
      </c>
      <c r="I38" s="147" t="str">
        <f>+IF(VLOOKUP(A38,'Estado SCI'!$A$16:$G$59,7,0)="","",VLOOKUP(A38,'Estado SCI'!$A$16:$G$59,7,0))</f>
        <v>No</v>
      </c>
      <c r="J38" s="148">
        <f t="shared" si="2"/>
        <v>0</v>
      </c>
      <c r="K38" s="149">
        <f t="shared" si="1"/>
        <v>0.35</v>
      </c>
    </row>
    <row r="39" spans="1:11" x14ac:dyDescent="0.25">
      <c r="A39" s="147" t="s">
        <v>184</v>
      </c>
      <c r="B39" s="147" t="s">
        <v>97</v>
      </c>
      <c r="C39" s="147" t="s">
        <v>68</v>
      </c>
      <c r="D39" s="147" t="s">
        <v>48</v>
      </c>
      <c r="E39" s="147" t="s">
        <v>102</v>
      </c>
      <c r="F39" s="147" t="str">
        <f>+VLOOKUP(A39,'Estado SCI'!$A$16:$I$59,9,0)</f>
        <v>Deficiencia de control</v>
      </c>
      <c r="G39" s="147">
        <f>+VLOOKUP(A39,'Estado SCI'!$A$16:$L$59,12,0)</f>
        <v>80.851234000000005</v>
      </c>
      <c r="H39" s="147">
        <f t="shared" si="0"/>
        <v>36</v>
      </c>
      <c r="I39" s="147" t="str">
        <f>+IF(VLOOKUP(A39,'Estado SCI'!$A$16:$G$59,7,0)="","",VLOOKUP(A39,'Estado SCI'!$A$16:$G$59,7,0))</f>
        <v>No</v>
      </c>
      <c r="J39" s="148">
        <f t="shared" si="2"/>
        <v>0</v>
      </c>
      <c r="K39" s="149">
        <f t="shared" si="1"/>
        <v>0.35</v>
      </c>
    </row>
    <row r="40" spans="1:11" x14ac:dyDescent="0.25">
      <c r="A40" s="147" t="s">
        <v>185</v>
      </c>
      <c r="B40" s="147" t="s">
        <v>97</v>
      </c>
      <c r="C40" s="147" t="s">
        <v>68</v>
      </c>
      <c r="D40" s="147" t="s">
        <v>50</v>
      </c>
      <c r="E40" s="147" t="s">
        <v>105</v>
      </c>
      <c r="F40" s="147" t="str">
        <f>+VLOOKUP(A40,'Estado SCI'!$A$16:$I$59,9,0)</f>
        <v>Deficiencia de control</v>
      </c>
      <c r="G40" s="147">
        <f>+VLOOKUP(A40,'Estado SCI'!$A$16:$L$59,12,0)</f>
        <v>80.851234500000004</v>
      </c>
      <c r="H40" s="147">
        <f t="shared" si="0"/>
        <v>37</v>
      </c>
      <c r="I40" s="147" t="str">
        <f>+IF(VLOOKUP(A40,'Estado SCI'!$A$16:$G$59,7,0)="","",VLOOKUP(A40,'Estado SCI'!$A$16:$G$59,7,0))</f>
        <v>No</v>
      </c>
      <c r="J40" s="148">
        <f t="shared" si="2"/>
        <v>0</v>
      </c>
      <c r="K40" s="149">
        <f t="shared" si="1"/>
        <v>0.35</v>
      </c>
    </row>
    <row r="41" spans="1:11" x14ac:dyDescent="0.25">
      <c r="A41" s="147" t="s">
        <v>186</v>
      </c>
      <c r="B41" s="147" t="s">
        <v>97</v>
      </c>
      <c r="C41" s="147" t="s">
        <v>68</v>
      </c>
      <c r="D41" s="147" t="s">
        <v>34</v>
      </c>
      <c r="E41" s="147" t="s">
        <v>108</v>
      </c>
      <c r="F41" s="147" t="str">
        <f>+VLOOKUP(A41,'Estado SCI'!$A$16:$I$59,9,0)</f>
        <v>Oportunidad de mejora</v>
      </c>
      <c r="G41" s="147">
        <f>+VLOOKUP(A41,'Estado SCI'!$A$16:$L$59,12,0)</f>
        <v>100.85123455999999</v>
      </c>
      <c r="H41" s="147">
        <f t="shared" si="0"/>
        <v>40</v>
      </c>
      <c r="I41" s="147" t="str">
        <f>+IF(VLOOKUP(A41,'Estado SCI'!$A$16:$G$59,7,0)="","",VLOOKUP(A41,'Estado SCI'!$A$16:$G$59,7,0))</f>
        <v>En proceso</v>
      </c>
      <c r="J41" s="148">
        <f t="shared" si="2"/>
        <v>0.5</v>
      </c>
      <c r="K41" s="149">
        <f t="shared" si="1"/>
        <v>0.35</v>
      </c>
    </row>
    <row r="42" spans="1:11" x14ac:dyDescent="0.25">
      <c r="A42" s="147" t="s">
        <v>187</v>
      </c>
      <c r="B42" s="147" t="s">
        <v>97</v>
      </c>
      <c r="C42" s="147" t="s">
        <v>73</v>
      </c>
      <c r="D42" s="147" t="s">
        <v>37</v>
      </c>
      <c r="E42" s="147" t="s">
        <v>109</v>
      </c>
      <c r="F42" s="147" t="str">
        <f>+VLOOKUP(A42,'Estado SCI'!$A$16:$I$59,9,0)</f>
        <v>Oportunidad de mejora</v>
      </c>
      <c r="G42" s="147">
        <f>+VLOOKUP(A42,'Estado SCI'!$A$16:$L$59,12,0)</f>
        <v>100.85123456700001</v>
      </c>
      <c r="H42" s="147">
        <f t="shared" si="0"/>
        <v>41</v>
      </c>
      <c r="I42" s="147" t="str">
        <f>+IF(VLOOKUP(A42,'Estado SCI'!$A$16:$G$59,7,0)="","",VLOOKUP(A42,'Estado SCI'!$A$16:$G$59,7,0))</f>
        <v>En proceso</v>
      </c>
      <c r="J42" s="148">
        <f t="shared" si="2"/>
        <v>0.5</v>
      </c>
      <c r="K42" s="149">
        <f t="shared" si="1"/>
        <v>0.35</v>
      </c>
    </row>
    <row r="43" spans="1:11" x14ac:dyDescent="0.25">
      <c r="A43" s="147" t="s">
        <v>188</v>
      </c>
      <c r="B43" s="147" t="s">
        <v>97</v>
      </c>
      <c r="C43" s="147" t="s">
        <v>73</v>
      </c>
      <c r="D43" s="147" t="s">
        <v>40</v>
      </c>
      <c r="E43" s="147" t="s">
        <v>110</v>
      </c>
      <c r="F43" s="147" t="str">
        <f>+VLOOKUP(A43,'Estado SCI'!$A$16:$I$59,9,0)</f>
        <v>Deficiencia de control</v>
      </c>
      <c r="G43" s="147">
        <f>+VLOOKUP(A43,'Estado SCI'!$A$16:$L$59,12,0)</f>
        <v>80.851234567800006</v>
      </c>
      <c r="H43" s="147">
        <f t="shared" si="0"/>
        <v>38</v>
      </c>
      <c r="I43" s="147" t="str">
        <f>+IF(VLOOKUP(A43,'Estado SCI'!$A$16:$G$59,7,0)="","",VLOOKUP(A43,'Estado SCI'!$A$16:$G$59,7,0))</f>
        <v>No</v>
      </c>
      <c r="J43" s="148">
        <f t="shared" si="2"/>
        <v>0</v>
      </c>
      <c r="K43" s="149">
        <f t="shared" si="1"/>
        <v>0.35</v>
      </c>
    </row>
    <row r="44" spans="1:11" x14ac:dyDescent="0.25">
      <c r="A44" s="147" t="s">
        <v>189</v>
      </c>
      <c r="B44" s="147" t="s">
        <v>97</v>
      </c>
      <c r="C44" s="147" t="s">
        <v>73</v>
      </c>
      <c r="D44" s="147" t="s">
        <v>42</v>
      </c>
      <c r="E44" s="147" t="s">
        <v>111</v>
      </c>
      <c r="F44" s="147" t="str">
        <f>+VLOOKUP(A44,'Estado SCI'!$A$16:$I$59,9,0)</f>
        <v>Deficiencia de control</v>
      </c>
      <c r="G44" s="147">
        <f>+VLOOKUP(A44,'Estado SCI'!$A$16:$L$59,12,0)</f>
        <v>80.851234567890003</v>
      </c>
      <c r="H44" s="147">
        <f t="shared" si="0"/>
        <v>39</v>
      </c>
      <c r="I44" s="147" t="str">
        <f>+IF(VLOOKUP(A44,'Estado SCI'!$A$16:$G$59,7,0)="","",VLOOKUP(A44,'Estado SCI'!$A$16:$G$59,7,0))</f>
        <v>No</v>
      </c>
      <c r="J44" s="148">
        <f t="shared" si="2"/>
        <v>0</v>
      </c>
      <c r="K44" s="149">
        <f t="shared" si="1"/>
        <v>0.35</v>
      </c>
    </row>
    <row r="45" spans="1:11" x14ac:dyDescent="0.25">
      <c r="A45" s="147" t="s">
        <v>190</v>
      </c>
      <c r="B45" s="147" t="s">
        <v>97</v>
      </c>
      <c r="C45" s="147" t="s">
        <v>73</v>
      </c>
      <c r="D45" s="147" t="s">
        <v>44</v>
      </c>
      <c r="E45" s="147" t="s">
        <v>112</v>
      </c>
      <c r="F45" s="147" t="str">
        <f>+VLOOKUP(A45,'Estado SCI'!$A$16:$I$59,9,0)</f>
        <v>Oportunidad de mejora</v>
      </c>
      <c r="G45" s="147">
        <f>+VLOOKUP(A45,'Estado SCI'!$A$16:$L$59,12,0)</f>
        <v>100.851234567891</v>
      </c>
      <c r="H45" s="147">
        <f t="shared" si="0"/>
        <v>42</v>
      </c>
      <c r="I45" s="147" t="str">
        <f>+IF(VLOOKUP(A45,'Estado SCI'!$A$16:$G$59,7,0)="","",VLOOKUP(A45,'Estado SCI'!$A$16:$G$59,7,0))</f>
        <v>En proceso</v>
      </c>
      <c r="J45" s="148">
        <f t="shared" si="2"/>
        <v>0.5</v>
      </c>
      <c r="K45" s="149">
        <f t="shared" si="1"/>
        <v>0.35</v>
      </c>
    </row>
  </sheetData>
  <sheetProtection algorithmName="SHA-512" hashValue="eXgkKlTi9xJKAI7t6Aeb2RaFpkfyF43pI2BIhtxDc7hsl0SqLK8I4Wc7jbZwC5kw3uyIHOBIUXRnh5cC70LKYA==" saltValue="AxKzX6Ar80vT7acQV8rFpQ==" spinCount="100000" sheet="1" objects="1" scenarios="1" selectLockedCells="1"/>
  <autoFilter ref="A1:K45"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CONTROL INTERNO</cp:lastModifiedBy>
  <cp:revision/>
  <dcterms:created xsi:type="dcterms:W3CDTF">2020-04-28T13:58:09Z</dcterms:created>
  <dcterms:modified xsi:type="dcterms:W3CDTF">2026-07-15T18:18:33Z</dcterms:modified>
  <cp:category/>
  <cp:contentStatus/>
</cp:coreProperties>
</file>